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https://d.docs.live.net/ea4c272753999589/Documents/TSSI/Projects/Los Alamos Co^J NM/Project Documents/RFP/RFP Attachments/Exhibit A - Functional Specifications/"/>
    </mc:Choice>
  </mc:AlternateContent>
  <xr:revisionPtr revIDLastSave="221" documentId="8_{CF5B02DC-B12A-4579-A8AA-C0FE0CCD3975}" xr6:coauthVersionLast="47" xr6:coauthVersionMax="47" xr10:uidLastSave="{696DFA07-5CFB-4AB6-8F7B-3C8009A66178}"/>
  <workbookProtection workbookAlgorithmName="SHA-512" workbookHashValue="IdnOQvBP0w/+lUaYo3P44U4Jq0rWTUdIwzo46THl/uS5oHQocgoSnrds+HIwUnzmGWF42LhX1IDC4G7KpSuB4w==" workbookSaltValue="jaD63GLHbp3lOi8cgQ1+dA==" workbookSpinCount="100000" lockStructure="1"/>
  <bookViews>
    <workbookView xWindow="-108" yWindow="-108" windowWidth="23256" windowHeight="12576" tabRatio="849" firstSheet="2" activeTab="2" xr2:uid="{00000000-000D-0000-FFFF-FFFF00000000}"/>
  </bookViews>
  <sheets>
    <sheet name="Evaluation Overview" sheetId="6" state="hidden" r:id="rId1"/>
    <sheet name="Support Data" sheetId="2" state="hidden" r:id="rId2"/>
    <sheet name="General Interface" sheetId="5" r:id="rId3"/>
    <sheet name="Alarm Monitoring" sheetId="76" r:id="rId4"/>
    <sheet name="Alarm Tracking and Billing" sheetId="77" r:id="rId5"/>
    <sheet name="Alerting Interface" sheetId="32" r:id="rId6"/>
    <sheet name="Alpha-Text Paging Interface" sheetId="22" r:id="rId7"/>
    <sheet name="AVL Interface" sheetId="23" r:id="rId8"/>
    <sheet name="Bar-Coding" sheetId="56" state="hidden" r:id="rId9"/>
    <sheet name="Dynamic Radio Re-Grouping" sheetId="79" r:id="rId10"/>
    <sheet name="CAD2CAD" sheetId="29" r:id="rId11"/>
    <sheet name="LiveScan Module" sheetId="58" r:id="rId12"/>
    <sheet name="Dispatch Protocol Software" sheetId="31" r:id="rId13"/>
    <sheet name="EMS Billing" sheetId="59" state="hidden" r:id="rId14"/>
    <sheet name="E9-1-1 Interface" sheetId="24" r:id="rId15"/>
    <sheet name="Emergency Notification System" sheetId="60" r:id="rId16"/>
    <sheet name="ePCR" sheetId="61" r:id="rId17"/>
    <sheet name="External Databases" sheetId="63" r:id="rId18"/>
    <sheet name="FAX" sheetId="62" state="hidden" r:id="rId19"/>
    <sheet name="FRMS" sheetId="30" r:id="rId20"/>
    <sheet name="Forms" sheetId="64" r:id="rId21"/>
    <sheet name="Hazardous Materials" sheetId="66" r:id="rId22"/>
    <sheet name="Logging Recorder" sheetId="65" r:id="rId23"/>
    <sheet name="NextGen" sheetId="27" r:id="rId24"/>
    <sheet name="PSAP Master Clock" sheetId="67" r:id="rId25"/>
    <sheet name="Pictometry" sheetId="68" r:id="rId26"/>
    <sheet name="Radio System" sheetId="69" r:id="rId27"/>
    <sheet name="LERMS" sheetId="28" state="hidden" r:id="rId28"/>
    <sheet name="Resource Deployment" sheetId="70" state="hidden" r:id="rId29"/>
    <sheet name="Rip and Run" sheetId="71" r:id="rId30"/>
    <sheet name="Site Security System" sheetId="72" state="hidden" r:id="rId31"/>
    <sheet name="Staffing" sheetId="73" r:id="rId32"/>
    <sheet name="State NCIC Interface" sheetId="25" r:id="rId33"/>
    <sheet name="TDD-TTY" sheetId="74" r:id="rId34"/>
    <sheet name="Web CAD Interface" sheetId="26" r:id="rId35"/>
    <sheet name="Ticketing Interface" sheetId="80" state="hidden" r:id="rId36"/>
  </sheets>
  <definedNames>
    <definedName name="AvailabilityData" localSheetId="9">'Support Data'!$B$12:$C$15</definedName>
    <definedName name="AvailabilityData" localSheetId="35">'Support Data'!$B$12:$C$15</definedName>
    <definedName name="AvailabilityData">'Support Data'!$B$12:$C$15</definedName>
    <definedName name="AvailabilityType" localSheetId="9">'Support Data'!$B$12:$B$15</definedName>
    <definedName name="AvailabilityType" localSheetId="35">'Support Data'!$B$12:$B$15</definedName>
    <definedName name="AvailabilityType">'Support Data'!$B$12:$B$15</definedName>
    <definedName name="_xlnm.Print_Area" localSheetId="26">'Radio System'!$A$1:$L$57</definedName>
    <definedName name="SpecData" localSheetId="9">'Support Data'!$B$5:$C$8</definedName>
    <definedName name="SpecData" localSheetId="35">'Support Data'!$B$5:$C$8</definedName>
    <definedName name="SpecData">'Support Data'!$B$5:$C$8</definedName>
    <definedName name="SpecType" localSheetId="9">'Support Data'!$B$5:$B$8</definedName>
    <definedName name="SpecType" localSheetId="35">'Support Data'!$B$5:$B$8</definedName>
    <definedName name="SpecType">'Support Data'!$B$5:$B$8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5" i="73" l="1"/>
  <c r="K6" i="73"/>
  <c r="K7" i="73"/>
  <c r="K8" i="73"/>
  <c r="K9" i="73"/>
  <c r="K10" i="73"/>
  <c r="K11" i="73"/>
  <c r="K12" i="73"/>
  <c r="K3" i="73" s="1"/>
  <c r="D69" i="6" s="1"/>
  <c r="K13" i="73"/>
  <c r="K14" i="73"/>
  <c r="K15" i="73"/>
  <c r="K16" i="73"/>
  <c r="K17" i="73"/>
  <c r="K18" i="73"/>
  <c r="K19" i="73"/>
  <c r="K20" i="73"/>
  <c r="K21" i="73"/>
  <c r="K22" i="73"/>
  <c r="K23" i="73"/>
  <c r="K24" i="73"/>
  <c r="K25" i="73"/>
  <c r="K26" i="73"/>
  <c r="K27" i="73"/>
  <c r="K29" i="73"/>
  <c r="K30" i="73"/>
  <c r="K31" i="73"/>
  <c r="K32" i="73"/>
  <c r="K33" i="73"/>
  <c r="K35" i="73"/>
  <c r="K36" i="73"/>
  <c r="K37" i="73"/>
  <c r="K39" i="73"/>
  <c r="K40" i="73"/>
  <c r="K41" i="73"/>
  <c r="K42" i="73"/>
  <c r="K43" i="73"/>
  <c r="K44" i="73"/>
  <c r="K45" i="73"/>
  <c r="K46" i="73"/>
  <c r="K47" i="73"/>
  <c r="K48" i="73"/>
  <c r="K49" i="73"/>
  <c r="K50" i="73"/>
  <c r="K51" i="73"/>
  <c r="K52" i="73"/>
  <c r="K53" i="73"/>
  <c r="K54" i="73"/>
  <c r="K55" i="73"/>
  <c r="K56" i="73"/>
  <c r="K57" i="73"/>
  <c r="K58" i="73"/>
  <c r="K59" i="73"/>
  <c r="K60" i="73"/>
  <c r="K62" i="73"/>
  <c r="K63" i="73"/>
  <c r="K64" i="73"/>
  <c r="K65" i="73"/>
  <c r="K66" i="73"/>
  <c r="K67" i="73"/>
  <c r="K68" i="73"/>
  <c r="K69" i="73"/>
  <c r="K70" i="73"/>
  <c r="K71" i="73"/>
  <c r="K72" i="73"/>
  <c r="K73" i="73"/>
  <c r="K74" i="73"/>
  <c r="K75" i="73"/>
  <c r="K76" i="73"/>
  <c r="K77" i="73"/>
  <c r="K78" i="73"/>
  <c r="K79" i="73"/>
  <c r="K80" i="73"/>
  <c r="K81" i="73"/>
  <c r="K82" i="73"/>
  <c r="K83" i="73"/>
  <c r="K84" i="73"/>
  <c r="K86" i="73"/>
  <c r="K87" i="73"/>
  <c r="K88" i="73"/>
  <c r="K89" i="73"/>
  <c r="K90" i="73"/>
  <c r="K91" i="73"/>
  <c r="K93" i="73"/>
  <c r="K94" i="73"/>
  <c r="K95" i="73"/>
  <c r="K97" i="73"/>
  <c r="K98" i="73"/>
  <c r="K99" i="73"/>
  <c r="K100" i="73"/>
  <c r="K101" i="73"/>
  <c r="K102" i="73"/>
  <c r="K103" i="73"/>
  <c r="K104" i="73"/>
  <c r="K105" i="73"/>
  <c r="K106" i="73"/>
  <c r="K108" i="73"/>
  <c r="K109" i="73"/>
  <c r="K110" i="73"/>
  <c r="K111" i="73"/>
  <c r="K112" i="73"/>
  <c r="K113" i="73"/>
  <c r="K114" i="73"/>
  <c r="K115" i="73"/>
  <c r="K116" i="73"/>
  <c r="K117" i="73"/>
  <c r="K118" i="73"/>
  <c r="K119" i="73"/>
  <c r="K120" i="73"/>
  <c r="K121" i="73"/>
  <c r="K122" i="73"/>
  <c r="K123" i="73"/>
  <c r="K124" i="73"/>
  <c r="K125" i="73"/>
  <c r="K126" i="73"/>
  <c r="K127" i="73"/>
  <c r="K128" i="73"/>
  <c r="K129" i="73"/>
  <c r="K130" i="73"/>
  <c r="K131" i="73"/>
  <c r="K132" i="73"/>
  <c r="K133" i="73"/>
  <c r="K134" i="73"/>
  <c r="K135" i="73"/>
  <c r="K136" i="73"/>
  <c r="K137" i="73"/>
  <c r="K138" i="73"/>
  <c r="K139" i="73"/>
  <c r="K140" i="73"/>
  <c r="K141" i="73"/>
  <c r="K142" i="73"/>
  <c r="K143" i="73"/>
  <c r="K144" i="73"/>
  <c r="K145" i="73"/>
  <c r="K146" i="73"/>
  <c r="K147" i="73"/>
  <c r="K148" i="73"/>
  <c r="K149" i="73"/>
  <c r="K150" i="73"/>
  <c r="K151" i="73"/>
  <c r="K152" i="73"/>
  <c r="K153" i="73"/>
  <c r="K154" i="73"/>
  <c r="K155" i="73"/>
  <c r="K156" i="73"/>
  <c r="K157" i="73"/>
  <c r="K158" i="73"/>
  <c r="K5" i="61"/>
  <c r="K6" i="61"/>
  <c r="K7" i="61"/>
  <c r="K8" i="61"/>
  <c r="K9" i="61"/>
  <c r="K10" i="61"/>
  <c r="K11" i="61"/>
  <c r="K3" i="61" s="1"/>
  <c r="D58" i="6" s="1"/>
  <c r="K12" i="61"/>
  <c r="K13" i="61"/>
  <c r="K14" i="61"/>
  <c r="K15" i="61"/>
  <c r="K16" i="61"/>
  <c r="K17" i="61"/>
  <c r="K18" i="61"/>
  <c r="K19" i="61"/>
  <c r="K20" i="61"/>
  <c r="K21" i="61"/>
  <c r="K23" i="61"/>
  <c r="K24" i="61"/>
  <c r="K25" i="61"/>
  <c r="K26" i="61"/>
  <c r="K27" i="61"/>
  <c r="K28" i="61"/>
  <c r="K29" i="61"/>
  <c r="K30" i="61"/>
  <c r="K32" i="61"/>
  <c r="K33" i="61"/>
  <c r="K34" i="61"/>
  <c r="K35" i="61"/>
  <c r="K36" i="61"/>
  <c r="K37" i="61"/>
  <c r="K38" i="61"/>
  <c r="K39" i="61"/>
  <c r="K40" i="61"/>
  <c r="K41" i="61"/>
  <c r="K42" i="61"/>
  <c r="K43" i="61"/>
  <c r="K44" i="61"/>
  <c r="K45" i="61"/>
  <c r="K46" i="61"/>
  <c r="K47" i="61"/>
  <c r="K48" i="61"/>
  <c r="K50" i="61"/>
  <c r="K51" i="61"/>
  <c r="K52" i="61"/>
  <c r="K53" i="61"/>
  <c r="K54" i="61"/>
  <c r="K55" i="61"/>
  <c r="K56" i="61"/>
  <c r="K57" i="61"/>
  <c r="K58" i="61"/>
  <c r="K59" i="61"/>
  <c r="K60" i="61"/>
  <c r="K61" i="61"/>
  <c r="K62" i="61"/>
  <c r="K63" i="61"/>
  <c r="K64" i="61"/>
  <c r="K65" i="61"/>
  <c r="K66" i="61"/>
  <c r="K67" i="61"/>
  <c r="K68" i="61"/>
  <c r="K69" i="61"/>
  <c r="K70" i="61"/>
  <c r="K71" i="61"/>
  <c r="K72" i="61"/>
  <c r="K73" i="61"/>
  <c r="K75" i="61"/>
  <c r="K76" i="61"/>
  <c r="K77" i="61"/>
  <c r="K78" i="61"/>
  <c r="K79" i="61"/>
  <c r="K80" i="61"/>
  <c r="K81" i="61"/>
  <c r="K84" i="61"/>
  <c r="K85" i="61"/>
  <c r="K86" i="61"/>
  <c r="K87" i="61"/>
  <c r="K88" i="61"/>
  <c r="K89" i="61"/>
  <c r="K90" i="61"/>
  <c r="K91" i="61"/>
  <c r="K92" i="61"/>
  <c r="K93" i="61"/>
  <c r="K94" i="61"/>
  <c r="K95" i="61"/>
  <c r="K96" i="61"/>
  <c r="K97" i="61"/>
  <c r="K98" i="61"/>
  <c r="K99" i="61"/>
  <c r="K101" i="61"/>
  <c r="K102" i="61"/>
  <c r="K103" i="61"/>
  <c r="K104" i="61"/>
  <c r="K105" i="61"/>
  <c r="K106" i="61"/>
  <c r="K107" i="61"/>
  <c r="K108" i="61"/>
  <c r="K109" i="61"/>
  <c r="K110" i="61"/>
  <c r="K111" i="61"/>
  <c r="K112" i="61"/>
  <c r="K113" i="61"/>
  <c r="K114" i="61"/>
  <c r="K115" i="61"/>
  <c r="K116" i="61"/>
  <c r="K117" i="61"/>
  <c r="K118" i="61"/>
  <c r="K119" i="61"/>
  <c r="K120" i="61"/>
  <c r="K121" i="61"/>
  <c r="K122" i="61"/>
  <c r="K123" i="61"/>
  <c r="K124" i="61"/>
  <c r="K125" i="61"/>
  <c r="K126" i="61"/>
  <c r="K127" i="61"/>
  <c r="K128" i="61"/>
  <c r="K129" i="61"/>
  <c r="K130" i="61"/>
  <c r="K131" i="61"/>
  <c r="K132" i="61"/>
  <c r="K133" i="61"/>
  <c r="K134" i="61"/>
  <c r="K135" i="61"/>
  <c r="K136" i="61"/>
  <c r="K137" i="61"/>
  <c r="K138" i="61"/>
  <c r="K139" i="61"/>
  <c r="K140" i="61"/>
  <c r="K141" i="61"/>
  <c r="K142" i="61"/>
  <c r="K143" i="61"/>
  <c r="K144" i="61"/>
  <c r="K145" i="61"/>
  <c r="K146" i="61"/>
  <c r="K147" i="61"/>
  <c r="K148" i="61"/>
  <c r="K149" i="61"/>
  <c r="K150" i="61"/>
  <c r="K151" i="61"/>
  <c r="K152" i="61"/>
  <c r="K153" i="61"/>
  <c r="K154" i="61"/>
  <c r="K155" i="61"/>
  <c r="K156" i="61"/>
  <c r="K157" i="61"/>
  <c r="K158" i="61"/>
  <c r="K159" i="61"/>
  <c r="K160" i="61"/>
  <c r="K161" i="61"/>
  <c r="K162" i="61"/>
  <c r="K163" i="61"/>
  <c r="K164" i="61"/>
  <c r="K165" i="61"/>
  <c r="K166" i="61"/>
  <c r="K168" i="61"/>
  <c r="K169" i="61"/>
  <c r="K170" i="61"/>
  <c r="K171" i="61"/>
  <c r="K172" i="61"/>
  <c r="K173" i="61"/>
  <c r="K174" i="61"/>
  <c r="K175" i="61"/>
  <c r="K176" i="61"/>
  <c r="K177" i="61"/>
  <c r="K178" i="61"/>
  <c r="K179" i="61"/>
  <c r="K180" i="61"/>
  <c r="K181" i="61"/>
  <c r="K182" i="61"/>
  <c r="K183" i="61"/>
  <c r="K184" i="61"/>
  <c r="K185" i="61"/>
  <c r="K186" i="61"/>
  <c r="K187" i="61"/>
  <c r="K188" i="61"/>
  <c r="K189" i="61"/>
  <c r="K190" i="61"/>
  <c r="K191" i="61"/>
  <c r="K192" i="61"/>
  <c r="K194" i="61"/>
  <c r="K195" i="61"/>
  <c r="K196" i="61"/>
  <c r="K197" i="61"/>
  <c r="K198" i="61"/>
  <c r="K199" i="61"/>
  <c r="K200" i="61"/>
  <c r="K201" i="61"/>
  <c r="K202" i="61"/>
  <c r="K203" i="61"/>
  <c r="K204" i="61"/>
  <c r="K205" i="61"/>
  <c r="K207" i="61"/>
  <c r="K208" i="61"/>
  <c r="K209" i="61"/>
  <c r="K210" i="61"/>
  <c r="K211" i="61"/>
  <c r="K212" i="61"/>
  <c r="K213" i="61"/>
  <c r="E135" i="6"/>
  <c r="F135" i="6"/>
  <c r="G135" i="6"/>
  <c r="H135" i="6"/>
  <c r="I135" i="6"/>
  <c r="D135" i="6"/>
  <c r="E105" i="6"/>
  <c r="F105" i="6"/>
  <c r="G105" i="6"/>
  <c r="H105" i="6"/>
  <c r="I105" i="6"/>
  <c r="D105" i="6"/>
  <c r="E75" i="6"/>
  <c r="F75" i="6"/>
  <c r="G75" i="6"/>
  <c r="H75" i="6"/>
  <c r="I75" i="6"/>
  <c r="D75" i="6"/>
  <c r="E45" i="6"/>
  <c r="F45" i="6"/>
  <c r="G45" i="6"/>
  <c r="H45" i="6"/>
  <c r="I45" i="6"/>
  <c r="E15" i="6"/>
  <c r="F15" i="6"/>
  <c r="G15" i="6"/>
  <c r="H15" i="6"/>
  <c r="I15" i="6"/>
  <c r="D15" i="6"/>
  <c r="I14" i="31"/>
  <c r="J14" i="31"/>
  <c r="K14" i="31"/>
  <c r="I15" i="31"/>
  <c r="J15" i="31"/>
  <c r="K15" i="31"/>
  <c r="I16" i="31"/>
  <c r="J16" i="31"/>
  <c r="K16" i="31"/>
  <c r="I17" i="31"/>
  <c r="J17" i="31"/>
  <c r="K17" i="31"/>
  <c r="I18" i="31"/>
  <c r="J18" i="31"/>
  <c r="K18" i="31"/>
  <c r="I19" i="31"/>
  <c r="J19" i="31"/>
  <c r="K19" i="31"/>
  <c r="I20" i="31"/>
  <c r="J20" i="31"/>
  <c r="K20" i="31"/>
  <c r="I21" i="31"/>
  <c r="J21" i="31"/>
  <c r="K21" i="31"/>
  <c r="I22" i="31"/>
  <c r="J22" i="31"/>
  <c r="K22" i="31"/>
  <c r="I23" i="31"/>
  <c r="J23" i="31"/>
  <c r="K23" i="31"/>
  <c r="I24" i="31"/>
  <c r="J24" i="31"/>
  <c r="K24" i="31"/>
  <c r="I25" i="31"/>
  <c r="J25" i="31"/>
  <c r="K25" i="31"/>
  <c r="I26" i="31"/>
  <c r="J26" i="31"/>
  <c r="K26" i="31"/>
  <c r="I27" i="31"/>
  <c r="J27" i="31"/>
  <c r="K27" i="31"/>
  <c r="I28" i="31"/>
  <c r="J28" i="31"/>
  <c r="K28" i="31"/>
  <c r="G146" i="6"/>
  <c r="C35" i="29"/>
  <c r="C36" i="29"/>
  <c r="B36" i="29"/>
  <c r="J36" i="29"/>
  <c r="I36" i="29"/>
  <c r="K36" i="29"/>
  <c r="H15" i="29"/>
  <c r="F113" i="6"/>
  <c r="H20" i="74"/>
  <c r="I161" i="6"/>
  <c r="H19" i="74"/>
  <c r="H161" i="6"/>
  <c r="H18" i="74"/>
  <c r="G161" i="6"/>
  <c r="D161" i="6"/>
  <c r="H17" i="74"/>
  <c r="F161" i="6"/>
  <c r="H16" i="74"/>
  <c r="I131" i="6"/>
  <c r="H15" i="74"/>
  <c r="H131" i="6"/>
  <c r="H14" i="74"/>
  <c r="G131" i="6"/>
  <c r="D131" i="6"/>
  <c r="H13" i="74"/>
  <c r="F131" i="6"/>
  <c r="H21" i="66"/>
  <c r="I152" i="6"/>
  <c r="H20" i="66"/>
  <c r="H152" i="6"/>
  <c r="I150" i="6"/>
  <c r="H150" i="6"/>
  <c r="G150" i="6"/>
  <c r="H22" i="63"/>
  <c r="I149" i="6"/>
  <c r="H21" i="63"/>
  <c r="H149" i="6"/>
  <c r="H20" i="63"/>
  <c r="G149" i="6"/>
  <c r="H19" i="63"/>
  <c r="F149" i="6"/>
  <c r="H18" i="63"/>
  <c r="I119" i="6"/>
  <c r="H17" i="63"/>
  <c r="H119" i="6"/>
  <c r="H16" i="63"/>
  <c r="G119" i="6"/>
  <c r="H15" i="63"/>
  <c r="F119" i="6"/>
  <c r="H21" i="60"/>
  <c r="I147" i="6"/>
  <c r="H20" i="60"/>
  <c r="H147" i="6"/>
  <c r="H19" i="60"/>
  <c r="G147" i="6"/>
  <c r="H18" i="60"/>
  <c r="F147" i="6"/>
  <c r="H17" i="60"/>
  <c r="I117" i="6"/>
  <c r="H16" i="60"/>
  <c r="H117" i="6"/>
  <c r="H15" i="60"/>
  <c r="G117" i="6"/>
  <c r="H14" i="60"/>
  <c r="F117" i="6"/>
  <c r="H20" i="24"/>
  <c r="I146" i="6"/>
  <c r="H19" i="24"/>
  <c r="H146" i="6"/>
  <c r="I18" i="24"/>
  <c r="D146" i="6"/>
  <c r="H17" i="24"/>
  <c r="F146" i="6"/>
  <c r="H16" i="24"/>
  <c r="I116" i="6"/>
  <c r="H15" i="24"/>
  <c r="H116" i="6"/>
  <c r="H14" i="24"/>
  <c r="G116" i="6"/>
  <c r="D116" i="6"/>
  <c r="H13" i="24"/>
  <c r="F116" i="6"/>
  <c r="H21" i="31"/>
  <c r="I145" i="6"/>
  <c r="H20" i="31"/>
  <c r="H145" i="6"/>
  <c r="H19" i="31"/>
  <c r="G145" i="6"/>
  <c r="D145" i="6"/>
  <c r="H18" i="31"/>
  <c r="F145" i="6"/>
  <c r="H17" i="31"/>
  <c r="I115" i="6"/>
  <c r="H16" i="31"/>
  <c r="H115" i="6"/>
  <c r="H15" i="31"/>
  <c r="G115" i="6"/>
  <c r="D115" i="6"/>
  <c r="H14" i="31"/>
  <c r="F115" i="6"/>
  <c r="H20" i="28"/>
  <c r="H18" i="80"/>
  <c r="H17" i="80"/>
  <c r="I162" i="6"/>
  <c r="H162" i="6"/>
  <c r="G162" i="6"/>
  <c r="H20" i="25"/>
  <c r="I160" i="6"/>
  <c r="H19" i="25"/>
  <c r="H160" i="6"/>
  <c r="H18" i="25"/>
  <c r="G160" i="6"/>
  <c r="D160" i="6"/>
  <c r="I159" i="6"/>
  <c r="H159" i="6"/>
  <c r="G159" i="6"/>
  <c r="D159" i="6"/>
  <c r="I158" i="6"/>
  <c r="H158" i="6"/>
  <c r="G158" i="6"/>
  <c r="D158" i="6"/>
  <c r="H18" i="28"/>
  <c r="H17" i="28"/>
  <c r="I157" i="6"/>
  <c r="H157" i="6"/>
  <c r="G157" i="6"/>
  <c r="D157" i="6"/>
  <c r="H19" i="68"/>
  <c r="I156" i="6"/>
  <c r="H18" i="68"/>
  <c r="H156" i="6"/>
  <c r="H17" i="68"/>
  <c r="G156" i="6"/>
  <c r="D156" i="6"/>
  <c r="H19" i="67"/>
  <c r="I155" i="6"/>
  <c r="H18" i="67"/>
  <c r="H155" i="6"/>
  <c r="H17" i="67"/>
  <c r="G155" i="6"/>
  <c r="D155" i="6"/>
  <c r="H19" i="27"/>
  <c r="I154" i="6"/>
  <c r="H18" i="27"/>
  <c r="H154" i="6"/>
  <c r="H17" i="27"/>
  <c r="G154" i="6"/>
  <c r="H19" i="65"/>
  <c r="I153" i="6"/>
  <c r="H18" i="65"/>
  <c r="H153" i="6"/>
  <c r="H17" i="65"/>
  <c r="G153" i="6"/>
  <c r="H18" i="66"/>
  <c r="G152" i="6"/>
  <c r="H19" i="64"/>
  <c r="I151" i="6"/>
  <c r="H18" i="64"/>
  <c r="H151" i="6"/>
  <c r="H17" i="64"/>
  <c r="G151" i="6"/>
  <c r="H19" i="61"/>
  <c r="I148" i="6"/>
  <c r="H18" i="61"/>
  <c r="H148" i="6"/>
  <c r="H17" i="61"/>
  <c r="G148" i="6"/>
  <c r="D148" i="6"/>
  <c r="H19" i="58"/>
  <c r="I144" i="6"/>
  <c r="H18" i="58"/>
  <c r="H144" i="6"/>
  <c r="H17" i="58"/>
  <c r="G144" i="6"/>
  <c r="H23" i="29"/>
  <c r="I143" i="6"/>
  <c r="H22" i="29"/>
  <c r="H143" i="6"/>
  <c r="H21" i="29"/>
  <c r="G143" i="6"/>
  <c r="H19" i="79"/>
  <c r="I142" i="6"/>
  <c r="H18" i="79"/>
  <c r="H142" i="6"/>
  <c r="H17" i="79"/>
  <c r="G142" i="6"/>
  <c r="D142" i="6"/>
  <c r="I141" i="6"/>
  <c r="H141" i="6"/>
  <c r="G141" i="6"/>
  <c r="I140" i="6"/>
  <c r="H140" i="6"/>
  <c r="G140" i="6"/>
  <c r="I139" i="6"/>
  <c r="H139" i="6"/>
  <c r="G139" i="6"/>
  <c r="H19" i="77"/>
  <c r="I138" i="6"/>
  <c r="H18" i="77"/>
  <c r="H138" i="6"/>
  <c r="H17" i="77"/>
  <c r="G138" i="6"/>
  <c r="H19" i="76"/>
  <c r="I137" i="6"/>
  <c r="H18" i="76"/>
  <c r="H137" i="6"/>
  <c r="H17" i="76"/>
  <c r="G137" i="6"/>
  <c r="I136" i="6"/>
  <c r="H136" i="6"/>
  <c r="G136" i="6"/>
  <c r="D136" i="6"/>
  <c r="H16" i="80"/>
  <c r="F162" i="6"/>
  <c r="H17" i="25"/>
  <c r="F160" i="6"/>
  <c r="F159" i="6"/>
  <c r="F158" i="6"/>
  <c r="H16" i="28"/>
  <c r="F157" i="6"/>
  <c r="H16" i="68"/>
  <c r="F156" i="6"/>
  <c r="H16" i="67"/>
  <c r="F155" i="6"/>
  <c r="H16" i="27"/>
  <c r="F154" i="6"/>
  <c r="H16" i="65"/>
  <c r="F153" i="6"/>
  <c r="H17" i="66"/>
  <c r="F152" i="6"/>
  <c r="H16" i="64"/>
  <c r="F151" i="6"/>
  <c r="F150" i="6"/>
  <c r="H16" i="61"/>
  <c r="F148" i="6"/>
  <c r="H16" i="58"/>
  <c r="F144" i="6"/>
  <c r="H20" i="29"/>
  <c r="F143" i="6"/>
  <c r="H16" i="79"/>
  <c r="F142" i="6"/>
  <c r="F141" i="6"/>
  <c r="F140" i="6"/>
  <c r="F139" i="6"/>
  <c r="H16" i="77"/>
  <c r="F138" i="6"/>
  <c r="H16" i="76"/>
  <c r="F137" i="6"/>
  <c r="F136" i="6"/>
  <c r="H19" i="29"/>
  <c r="I113" i="6"/>
  <c r="H12" i="74"/>
  <c r="I101" i="6"/>
  <c r="H14" i="63"/>
  <c r="I89" i="6"/>
  <c r="H12" i="63"/>
  <c r="H89" i="6"/>
  <c r="H11" i="63"/>
  <c r="G89" i="6"/>
  <c r="H10" i="63"/>
  <c r="F89" i="6"/>
  <c r="H13" i="60"/>
  <c r="I87" i="6"/>
  <c r="H12" i="24"/>
  <c r="I86" i="6"/>
  <c r="H13" i="31"/>
  <c r="I85" i="6"/>
  <c r="H17" i="29"/>
  <c r="H113" i="6"/>
  <c r="H16" i="29"/>
  <c r="G113" i="6"/>
  <c r="H14" i="29"/>
  <c r="I83" i="6"/>
  <c r="H13" i="29"/>
  <c r="H83" i="6"/>
  <c r="H12" i="29"/>
  <c r="G83" i="6"/>
  <c r="H16" i="25"/>
  <c r="I130" i="6"/>
  <c r="H15" i="25"/>
  <c r="H130" i="6"/>
  <c r="H14" i="25"/>
  <c r="G130" i="6"/>
  <c r="D130" i="6"/>
  <c r="I110" i="6"/>
  <c r="H110" i="6"/>
  <c r="G110" i="6"/>
  <c r="H15" i="80"/>
  <c r="H14" i="80"/>
  <c r="H13" i="80"/>
  <c r="I132" i="6"/>
  <c r="H132" i="6"/>
  <c r="G132" i="6"/>
  <c r="D132" i="6"/>
  <c r="I129" i="6"/>
  <c r="H129" i="6"/>
  <c r="G129" i="6"/>
  <c r="I128" i="6"/>
  <c r="H128" i="6"/>
  <c r="G128" i="6"/>
  <c r="D128" i="6"/>
  <c r="H15" i="28"/>
  <c r="H14" i="28"/>
  <c r="H13" i="28"/>
  <c r="I127" i="6"/>
  <c r="H127" i="6"/>
  <c r="G127" i="6"/>
  <c r="H15" i="68"/>
  <c r="I126" i="6"/>
  <c r="H14" i="68"/>
  <c r="H126" i="6"/>
  <c r="H13" i="68"/>
  <c r="G126" i="6"/>
  <c r="H15" i="67"/>
  <c r="I125" i="6"/>
  <c r="H14" i="67"/>
  <c r="H125" i="6"/>
  <c r="H13" i="67"/>
  <c r="G125" i="6"/>
  <c r="D125" i="6"/>
  <c r="H15" i="27"/>
  <c r="I124" i="6"/>
  <c r="H14" i="27"/>
  <c r="H124" i="6"/>
  <c r="H13" i="27"/>
  <c r="G124" i="6"/>
  <c r="D124" i="6"/>
  <c r="H15" i="65"/>
  <c r="I123" i="6"/>
  <c r="H14" i="65"/>
  <c r="H123" i="6"/>
  <c r="H13" i="65"/>
  <c r="G123" i="6"/>
  <c r="H16" i="66"/>
  <c r="I122" i="6"/>
  <c r="H15" i="66"/>
  <c r="H122" i="6"/>
  <c r="H14" i="66"/>
  <c r="G122" i="6"/>
  <c r="H15" i="64"/>
  <c r="I121" i="6"/>
  <c r="H14" i="64"/>
  <c r="H121" i="6"/>
  <c r="H13" i="64"/>
  <c r="G121" i="6"/>
  <c r="I120" i="6"/>
  <c r="H120" i="6"/>
  <c r="G120" i="6"/>
  <c r="D120" i="6"/>
  <c r="H15" i="61"/>
  <c r="I118" i="6"/>
  <c r="H14" i="61"/>
  <c r="H118" i="6"/>
  <c r="H13" i="61"/>
  <c r="G118" i="6"/>
  <c r="D118" i="6"/>
  <c r="H15" i="58"/>
  <c r="I114" i="6"/>
  <c r="H14" i="58"/>
  <c r="H114" i="6"/>
  <c r="H13" i="58"/>
  <c r="G114" i="6"/>
  <c r="H15" i="79"/>
  <c r="I112" i="6"/>
  <c r="H14" i="79"/>
  <c r="H112" i="6"/>
  <c r="H13" i="79"/>
  <c r="G112" i="6"/>
  <c r="I111" i="6"/>
  <c r="H111" i="6"/>
  <c r="G111" i="6"/>
  <c r="I109" i="6"/>
  <c r="H109" i="6"/>
  <c r="G109" i="6"/>
  <c r="D109" i="6"/>
  <c r="F109" i="6"/>
  <c r="H15" i="77"/>
  <c r="I108" i="6"/>
  <c r="H14" i="77"/>
  <c r="H108" i="6"/>
  <c r="H13" i="77"/>
  <c r="G108" i="6"/>
  <c r="D108" i="6"/>
  <c r="H15" i="76"/>
  <c r="I107" i="6"/>
  <c r="H14" i="76"/>
  <c r="H107" i="6"/>
  <c r="H13" i="76"/>
  <c r="G107" i="6"/>
  <c r="I106" i="6"/>
  <c r="H106" i="6"/>
  <c r="G106" i="6"/>
  <c r="H12" i="80"/>
  <c r="F132" i="6"/>
  <c r="H12" i="25"/>
  <c r="F130" i="6"/>
  <c r="F129" i="6"/>
  <c r="F128" i="6"/>
  <c r="H12" i="28"/>
  <c r="F127" i="6"/>
  <c r="H12" i="68"/>
  <c r="F126" i="6"/>
  <c r="H12" i="67"/>
  <c r="F125" i="6"/>
  <c r="H12" i="27"/>
  <c r="F124" i="6"/>
  <c r="H12" i="65"/>
  <c r="F123" i="6"/>
  <c r="H13" i="66"/>
  <c r="F122" i="6"/>
  <c r="H12" i="64"/>
  <c r="F121" i="6"/>
  <c r="F120" i="6"/>
  <c r="H12" i="61"/>
  <c r="F118" i="6"/>
  <c r="H12" i="58"/>
  <c r="F114" i="6"/>
  <c r="H12" i="79"/>
  <c r="F112" i="6"/>
  <c r="F111" i="6"/>
  <c r="F110" i="6"/>
  <c r="H12" i="77"/>
  <c r="F108" i="6"/>
  <c r="H12" i="76"/>
  <c r="F107" i="6"/>
  <c r="F106" i="6"/>
  <c r="H11" i="80"/>
  <c r="H10" i="80"/>
  <c r="H9" i="80"/>
  <c r="I102" i="6"/>
  <c r="H102" i="6"/>
  <c r="G102" i="6"/>
  <c r="H10" i="74"/>
  <c r="H101" i="6"/>
  <c r="H9" i="74"/>
  <c r="G101" i="6"/>
  <c r="H11" i="25"/>
  <c r="I100" i="6"/>
  <c r="H10" i="25"/>
  <c r="H100" i="6"/>
  <c r="H9" i="25"/>
  <c r="G100" i="6"/>
  <c r="D100" i="6"/>
  <c r="I99" i="6"/>
  <c r="H99" i="6"/>
  <c r="G99" i="6"/>
  <c r="I98" i="6"/>
  <c r="H98" i="6"/>
  <c r="G98" i="6"/>
  <c r="F98" i="6"/>
  <c r="H11" i="28"/>
  <c r="H10" i="28"/>
  <c r="H9" i="28"/>
  <c r="I97" i="6"/>
  <c r="H97" i="6"/>
  <c r="G97" i="6"/>
  <c r="H11" i="68"/>
  <c r="I96" i="6"/>
  <c r="H10" i="68"/>
  <c r="H96" i="6"/>
  <c r="H9" i="68"/>
  <c r="G96" i="6"/>
  <c r="H11" i="67"/>
  <c r="I95" i="6"/>
  <c r="H10" i="67"/>
  <c r="H95" i="6"/>
  <c r="H9" i="67"/>
  <c r="G95" i="6"/>
  <c r="D95" i="6"/>
  <c r="H11" i="27"/>
  <c r="I94" i="6"/>
  <c r="H10" i="27"/>
  <c r="H94" i="6"/>
  <c r="H9" i="27"/>
  <c r="G94" i="6"/>
  <c r="D94" i="6"/>
  <c r="H11" i="65"/>
  <c r="I93" i="6"/>
  <c r="H10" i="65"/>
  <c r="H93" i="6"/>
  <c r="H9" i="65"/>
  <c r="G93" i="6"/>
  <c r="H12" i="66"/>
  <c r="I92" i="6"/>
  <c r="H11" i="66"/>
  <c r="H92" i="6"/>
  <c r="H10" i="66"/>
  <c r="G92" i="6"/>
  <c r="H11" i="64"/>
  <c r="I91" i="6"/>
  <c r="H10" i="64"/>
  <c r="H91" i="6"/>
  <c r="H9" i="64"/>
  <c r="G91" i="6"/>
  <c r="I90" i="6"/>
  <c r="H90" i="6"/>
  <c r="G90" i="6"/>
  <c r="D90" i="6"/>
  <c r="H11" i="61"/>
  <c r="I88" i="6"/>
  <c r="H10" i="61"/>
  <c r="H88" i="6"/>
  <c r="H9" i="61"/>
  <c r="G88" i="6"/>
  <c r="D88" i="6"/>
  <c r="H11" i="60"/>
  <c r="H87" i="6"/>
  <c r="H10" i="60"/>
  <c r="G87" i="6"/>
  <c r="H10" i="24"/>
  <c r="H86" i="6"/>
  <c r="H9" i="24"/>
  <c r="G86" i="6"/>
  <c r="D86" i="6"/>
  <c r="H11" i="31"/>
  <c r="H85" i="6"/>
  <c r="H10" i="31"/>
  <c r="G85" i="6"/>
  <c r="D85" i="6"/>
  <c r="H11" i="58"/>
  <c r="I84" i="6"/>
  <c r="H10" i="58"/>
  <c r="H84" i="6"/>
  <c r="H9" i="58"/>
  <c r="G84" i="6"/>
  <c r="H8" i="58"/>
  <c r="F84" i="6"/>
  <c r="H10" i="29"/>
  <c r="F83" i="6"/>
  <c r="H11" i="79"/>
  <c r="I82" i="6"/>
  <c r="H10" i="79"/>
  <c r="H82" i="6"/>
  <c r="H9" i="79"/>
  <c r="G82" i="6"/>
  <c r="I81" i="6"/>
  <c r="H81" i="6"/>
  <c r="G81" i="6"/>
  <c r="D81" i="6"/>
  <c r="I80" i="6"/>
  <c r="H80" i="6"/>
  <c r="G80" i="6"/>
  <c r="D80" i="6"/>
  <c r="I79" i="6"/>
  <c r="H79" i="6"/>
  <c r="G79" i="6"/>
  <c r="H11" i="77"/>
  <c r="I78" i="6"/>
  <c r="H10" i="77"/>
  <c r="H78" i="6"/>
  <c r="H9" i="77"/>
  <c r="G78" i="6"/>
  <c r="D78" i="6"/>
  <c r="H11" i="76"/>
  <c r="I77" i="6"/>
  <c r="H10" i="76"/>
  <c r="H77" i="6"/>
  <c r="H9" i="76"/>
  <c r="G77" i="6"/>
  <c r="I76" i="6"/>
  <c r="H76" i="6"/>
  <c r="G76" i="6"/>
  <c r="D96" i="6"/>
  <c r="H8" i="80"/>
  <c r="F102" i="6"/>
  <c r="H8" i="74"/>
  <c r="F101" i="6"/>
  <c r="H8" i="25"/>
  <c r="F100" i="6"/>
  <c r="F99" i="6"/>
  <c r="H8" i="28"/>
  <c r="F97" i="6"/>
  <c r="H8" i="68"/>
  <c r="F96" i="6"/>
  <c r="H8" i="67"/>
  <c r="F95" i="6"/>
  <c r="H8" i="27"/>
  <c r="F94" i="6"/>
  <c r="H8" i="65"/>
  <c r="F93" i="6"/>
  <c r="H9" i="66"/>
  <c r="F92" i="6"/>
  <c r="H8" i="64"/>
  <c r="F91" i="6"/>
  <c r="F90" i="6"/>
  <c r="H8" i="61"/>
  <c r="F88" i="6"/>
  <c r="H9" i="60"/>
  <c r="F87" i="6"/>
  <c r="H8" i="24"/>
  <c r="F86" i="6"/>
  <c r="H9" i="31"/>
  <c r="F85" i="6"/>
  <c r="H8" i="79"/>
  <c r="F82" i="6"/>
  <c r="F81" i="6"/>
  <c r="F80" i="6"/>
  <c r="F79" i="6"/>
  <c r="H8" i="77"/>
  <c r="F78" i="6"/>
  <c r="H8" i="76"/>
  <c r="F77" i="6"/>
  <c r="F76"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I46" i="6"/>
  <c r="H7" i="76"/>
  <c r="I47" i="6"/>
  <c r="I68" i="6"/>
  <c r="I67" i="6"/>
  <c r="H67" i="6"/>
  <c r="I62" i="6"/>
  <c r="I59" i="6"/>
  <c r="H59" i="6"/>
  <c r="G59" i="6"/>
  <c r="H8" i="60"/>
  <c r="I57" i="6"/>
  <c r="H7" i="60"/>
  <c r="H57" i="6"/>
  <c r="H53" i="6"/>
  <c r="G53" i="6"/>
  <c r="I50" i="6"/>
  <c r="H50" i="6"/>
  <c r="G50" i="6"/>
  <c r="I49" i="6"/>
  <c r="H49" i="6"/>
  <c r="G49" i="6"/>
  <c r="I72" i="6"/>
  <c r="H7" i="74"/>
  <c r="I71" i="6"/>
  <c r="I70" i="6"/>
  <c r="I69" i="6"/>
  <c r="H7" i="68"/>
  <c r="I66" i="6"/>
  <c r="H7" i="67"/>
  <c r="I65" i="6"/>
  <c r="I64" i="6"/>
  <c r="H7" i="65"/>
  <c r="I63" i="6"/>
  <c r="H7" i="64"/>
  <c r="I61" i="6"/>
  <c r="I60" i="6"/>
  <c r="I58" i="6"/>
  <c r="I56" i="6"/>
  <c r="H7" i="58"/>
  <c r="I54" i="6"/>
  <c r="H7" i="79"/>
  <c r="I52" i="6"/>
  <c r="I51" i="6"/>
  <c r="H7" i="77"/>
  <c r="I48" i="6"/>
  <c r="H72" i="6"/>
  <c r="H6" i="74"/>
  <c r="H71" i="6"/>
  <c r="H70" i="6"/>
  <c r="H69" i="6"/>
  <c r="H68" i="6"/>
  <c r="H6" i="68"/>
  <c r="H66" i="6"/>
  <c r="H6" i="67"/>
  <c r="H65" i="6"/>
  <c r="H64" i="6"/>
  <c r="H6" i="65"/>
  <c r="H63" i="6"/>
  <c r="H62" i="6"/>
  <c r="H6" i="64"/>
  <c r="H61" i="6"/>
  <c r="H60" i="6"/>
  <c r="H58" i="6"/>
  <c r="H56" i="6"/>
  <c r="H6" i="58"/>
  <c r="H54" i="6"/>
  <c r="H6" i="79"/>
  <c r="H52" i="6"/>
  <c r="H51" i="6"/>
  <c r="H6" i="77"/>
  <c r="H48" i="6"/>
  <c r="H6" i="76"/>
  <c r="H47" i="6"/>
  <c r="H46" i="6"/>
  <c r="G72" i="6"/>
  <c r="H5" i="74"/>
  <c r="G71" i="6"/>
  <c r="G70" i="6"/>
  <c r="G69" i="6"/>
  <c r="G68" i="6"/>
  <c r="G67" i="6"/>
  <c r="H5" i="68"/>
  <c r="G66" i="6"/>
  <c r="H5" i="67"/>
  <c r="G65" i="6"/>
  <c r="G64" i="6"/>
  <c r="H5" i="65"/>
  <c r="G63" i="6"/>
  <c r="G62" i="6"/>
  <c r="H5" i="64"/>
  <c r="G61" i="6"/>
  <c r="G60" i="6"/>
  <c r="G58" i="6"/>
  <c r="H5" i="60"/>
  <c r="G57" i="6"/>
  <c r="G56" i="6"/>
  <c r="H5" i="58"/>
  <c r="G54" i="6"/>
  <c r="H5" i="79"/>
  <c r="G52" i="6"/>
  <c r="G51" i="6"/>
  <c r="H5" i="77"/>
  <c r="G48" i="6"/>
  <c r="H5" i="76"/>
  <c r="G47" i="6"/>
  <c r="G46" i="6"/>
  <c r="F72" i="6"/>
  <c r="H4" i="74"/>
  <c r="F71" i="6"/>
  <c r="F70" i="6"/>
  <c r="F69" i="6"/>
  <c r="F68" i="6"/>
  <c r="F67" i="6"/>
  <c r="H4" i="68"/>
  <c r="F66" i="6"/>
  <c r="H4" i="67"/>
  <c r="F65" i="6"/>
  <c r="F64" i="6"/>
  <c r="H4" i="65"/>
  <c r="F63" i="6"/>
  <c r="F62" i="6"/>
  <c r="H4" i="64"/>
  <c r="F61" i="6"/>
  <c r="F60" i="6"/>
  <c r="F59" i="6"/>
  <c r="F58" i="6"/>
  <c r="H4" i="60"/>
  <c r="F57" i="6"/>
  <c r="F56" i="6"/>
  <c r="H4" i="58"/>
  <c r="F54" i="6"/>
  <c r="F53" i="6"/>
  <c r="H4" i="79"/>
  <c r="F52" i="6"/>
  <c r="F51" i="6"/>
  <c r="F50" i="6"/>
  <c r="F49" i="6"/>
  <c r="H4" i="77"/>
  <c r="F48" i="6"/>
  <c r="H4" i="76"/>
  <c r="F47" i="6"/>
  <c r="F46" i="6"/>
  <c r="H3" i="80"/>
  <c r="E72" i="6"/>
  <c r="H3" i="74"/>
  <c r="E71" i="6"/>
  <c r="H3" i="25"/>
  <c r="E40" i="6"/>
  <c r="E69" i="6"/>
  <c r="E68" i="6"/>
  <c r="H3" i="28"/>
  <c r="E67" i="6"/>
  <c r="H3" i="68"/>
  <c r="E66" i="6"/>
  <c r="H3" i="67"/>
  <c r="E65" i="6"/>
  <c r="H3" i="27"/>
  <c r="E64" i="6"/>
  <c r="H3" i="65"/>
  <c r="E63" i="6"/>
  <c r="H3" i="66"/>
  <c r="E62" i="6"/>
  <c r="H3" i="64"/>
  <c r="E61" i="6"/>
  <c r="E60" i="6"/>
  <c r="H3" i="63"/>
  <c r="E59" i="6"/>
  <c r="H3" i="61"/>
  <c r="E58" i="6"/>
  <c r="H3" i="60"/>
  <c r="E57" i="6"/>
  <c r="H3" i="24"/>
  <c r="E56" i="6"/>
  <c r="H3" i="31"/>
  <c r="E55" i="6"/>
  <c r="H3" i="58"/>
  <c r="E54" i="6"/>
  <c r="H3" i="29"/>
  <c r="E23" i="6"/>
  <c r="H3" i="79"/>
  <c r="E52" i="6"/>
  <c r="E51" i="6"/>
  <c r="E50" i="6"/>
  <c r="E49" i="6"/>
  <c r="H3" i="77"/>
  <c r="E48" i="6"/>
  <c r="H3" i="76"/>
  <c r="E47" i="6"/>
  <c r="E46" i="6"/>
  <c r="I4" i="80"/>
  <c r="I5" i="80"/>
  <c r="I6" i="80"/>
  <c r="I7" i="80"/>
  <c r="J7" i="80"/>
  <c r="K7" i="80"/>
  <c r="I8" i="80"/>
  <c r="I9" i="80"/>
  <c r="I10" i="80"/>
  <c r="J10" i="80"/>
  <c r="K10" i="80"/>
  <c r="I11" i="80"/>
  <c r="J11" i="80"/>
  <c r="K11" i="80"/>
  <c r="I12" i="80"/>
  <c r="I13" i="80"/>
  <c r="I14" i="80"/>
  <c r="J14" i="80"/>
  <c r="K14" i="80"/>
  <c r="I15" i="80"/>
  <c r="J15" i="80"/>
  <c r="K15" i="80"/>
  <c r="I16" i="80"/>
  <c r="I17" i="80"/>
  <c r="J17" i="80"/>
  <c r="K17" i="80"/>
  <c r="I18" i="80"/>
  <c r="J18" i="80"/>
  <c r="K18" i="80"/>
  <c r="I20" i="80"/>
  <c r="I21" i="80"/>
  <c r="I22" i="80"/>
  <c r="J22" i="80"/>
  <c r="K22" i="80"/>
  <c r="I4" i="74"/>
  <c r="J4" i="74"/>
  <c r="K4" i="74"/>
  <c r="I5" i="74"/>
  <c r="I6" i="74"/>
  <c r="J6" i="74"/>
  <c r="K6" i="74"/>
  <c r="I7" i="74"/>
  <c r="I8" i="74"/>
  <c r="J8" i="74"/>
  <c r="K8" i="74"/>
  <c r="I9" i="74"/>
  <c r="I10" i="74"/>
  <c r="I12" i="74"/>
  <c r="J12" i="74"/>
  <c r="K12" i="74"/>
  <c r="I13" i="74"/>
  <c r="I4" i="25"/>
  <c r="I5" i="25"/>
  <c r="I6" i="25"/>
  <c r="I7" i="25"/>
  <c r="I8" i="25"/>
  <c r="I9" i="25"/>
  <c r="I10" i="25"/>
  <c r="I11" i="25"/>
  <c r="I12" i="25"/>
  <c r="I14" i="25"/>
  <c r="I15" i="25"/>
  <c r="J15" i="25"/>
  <c r="K15" i="25"/>
  <c r="I16" i="25"/>
  <c r="I17" i="25"/>
  <c r="I18" i="25"/>
  <c r="J18" i="25"/>
  <c r="K18" i="25"/>
  <c r="I19" i="25"/>
  <c r="I20" i="25"/>
  <c r="I21" i="25"/>
  <c r="I22" i="25"/>
  <c r="I23" i="25"/>
  <c r="J23" i="25"/>
  <c r="K23" i="25"/>
  <c r="I24" i="25"/>
  <c r="I25" i="25"/>
  <c r="I26" i="25"/>
  <c r="I27" i="25"/>
  <c r="I28" i="25"/>
  <c r="I29" i="25"/>
  <c r="I30" i="25"/>
  <c r="I31" i="25"/>
  <c r="J31" i="25"/>
  <c r="K31" i="25"/>
  <c r="I32" i="25"/>
  <c r="I33" i="25"/>
  <c r="I34" i="25"/>
  <c r="J34" i="25"/>
  <c r="K34" i="25"/>
  <c r="I35" i="25"/>
  <c r="I36" i="25"/>
  <c r="I37" i="25"/>
  <c r="I38" i="25"/>
  <c r="I39" i="25"/>
  <c r="J39" i="25"/>
  <c r="K39" i="25"/>
  <c r="I40" i="25"/>
  <c r="I41" i="25"/>
  <c r="I42" i="25"/>
  <c r="I43" i="25"/>
  <c r="I44" i="25"/>
  <c r="I45" i="25"/>
  <c r="I46" i="25"/>
  <c r="I47" i="25"/>
  <c r="J47" i="25"/>
  <c r="K47" i="25"/>
  <c r="I48" i="25"/>
  <c r="I49" i="25"/>
  <c r="I50" i="25"/>
  <c r="J50" i="25"/>
  <c r="K50" i="25"/>
  <c r="I51" i="25"/>
  <c r="I52" i="25"/>
  <c r="I4" i="28"/>
  <c r="J4" i="28"/>
  <c r="K4" i="28"/>
  <c r="I5" i="28"/>
  <c r="I6" i="28"/>
  <c r="I7" i="28"/>
  <c r="I8" i="28"/>
  <c r="I9" i="28"/>
  <c r="I10" i="28"/>
  <c r="I11" i="28"/>
  <c r="I12" i="28"/>
  <c r="I13" i="28"/>
  <c r="I14" i="28"/>
  <c r="I15" i="28"/>
  <c r="I16" i="28"/>
  <c r="I17" i="28"/>
  <c r="I18" i="28"/>
  <c r="I20" i="28"/>
  <c r="I21" i="28"/>
  <c r="J21" i="28"/>
  <c r="K21" i="28"/>
  <c r="I22" i="28"/>
  <c r="J22" i="28"/>
  <c r="K22" i="28"/>
  <c r="I4" i="68"/>
  <c r="I5" i="68"/>
  <c r="I6" i="68"/>
  <c r="I7" i="68"/>
  <c r="J7" i="68"/>
  <c r="K7" i="68"/>
  <c r="I8" i="68"/>
  <c r="J8" i="68"/>
  <c r="K8" i="68"/>
  <c r="I9" i="68"/>
  <c r="J9" i="68"/>
  <c r="K9" i="68"/>
  <c r="I10" i="68"/>
  <c r="I11" i="68"/>
  <c r="I12" i="68"/>
  <c r="J12" i="68"/>
  <c r="K12" i="68"/>
  <c r="I4" i="27"/>
  <c r="I5" i="27"/>
  <c r="I6" i="27"/>
  <c r="J6" i="27"/>
  <c r="K6" i="27"/>
  <c r="I7" i="27"/>
  <c r="I8" i="27"/>
  <c r="I9" i="27"/>
  <c r="I10" i="27"/>
  <c r="J10" i="27"/>
  <c r="K10" i="27"/>
  <c r="I11" i="27"/>
  <c r="I12" i="27"/>
  <c r="J12" i="27"/>
  <c r="K12" i="27"/>
  <c r="I13" i="27"/>
  <c r="I14" i="27"/>
  <c r="I15" i="27"/>
  <c r="I16" i="27"/>
  <c r="I17" i="27"/>
  <c r="J17" i="27"/>
  <c r="K17" i="27"/>
  <c r="I18" i="27"/>
  <c r="J18" i="27"/>
  <c r="K18" i="27"/>
  <c r="I19" i="27"/>
  <c r="I20" i="27"/>
  <c r="I21" i="27"/>
  <c r="I4" i="66"/>
  <c r="I5" i="66"/>
  <c r="I6" i="66"/>
  <c r="J6" i="66"/>
  <c r="K6" i="66"/>
  <c r="I8" i="66"/>
  <c r="J8" i="66"/>
  <c r="K8" i="66"/>
  <c r="I9" i="66"/>
  <c r="I10" i="66"/>
  <c r="I11" i="66"/>
  <c r="I12" i="66"/>
  <c r="I13" i="66"/>
  <c r="I14" i="66"/>
  <c r="I15" i="66"/>
  <c r="I16" i="66"/>
  <c r="J16" i="66"/>
  <c r="K16" i="66"/>
  <c r="I17" i="66"/>
  <c r="I18" i="66"/>
  <c r="I20" i="66"/>
  <c r="I21" i="66"/>
  <c r="I22" i="66"/>
  <c r="I24" i="66"/>
  <c r="J24" i="66"/>
  <c r="K24" i="66"/>
  <c r="I25" i="66"/>
  <c r="J25" i="66"/>
  <c r="K25" i="66"/>
  <c r="I26" i="66"/>
  <c r="I27" i="66"/>
  <c r="I28" i="66"/>
  <c r="I29" i="66"/>
  <c r="J29" i="66"/>
  <c r="K29" i="66"/>
  <c r="I30" i="66"/>
  <c r="I31" i="66"/>
  <c r="I32" i="66"/>
  <c r="I33" i="66"/>
  <c r="J33" i="66"/>
  <c r="K33" i="66"/>
  <c r="I34" i="66"/>
  <c r="J34" i="66"/>
  <c r="K34" i="66"/>
  <c r="I35" i="66"/>
  <c r="I36" i="66"/>
  <c r="I37" i="66"/>
  <c r="I4" i="64"/>
  <c r="I5" i="64"/>
  <c r="I6" i="64"/>
  <c r="J6" i="64"/>
  <c r="K6" i="64"/>
  <c r="I7" i="64"/>
  <c r="J7" i="64"/>
  <c r="K7" i="64"/>
  <c r="I8" i="64"/>
  <c r="I9" i="64"/>
  <c r="I10" i="64"/>
  <c r="I4" i="63"/>
  <c r="J4" i="63"/>
  <c r="K4" i="63"/>
  <c r="I6" i="63"/>
  <c r="I7" i="63"/>
  <c r="I8" i="63"/>
  <c r="I10" i="63"/>
  <c r="I11" i="63"/>
  <c r="J11" i="63"/>
  <c r="K11" i="63"/>
  <c r="I12" i="63"/>
  <c r="J12" i="63"/>
  <c r="K12" i="63"/>
  <c r="I14" i="63"/>
  <c r="I15" i="63"/>
  <c r="I16" i="63"/>
  <c r="I17" i="63"/>
  <c r="J17" i="63"/>
  <c r="K17" i="63"/>
  <c r="I18" i="63"/>
  <c r="I19" i="63"/>
  <c r="I20" i="63"/>
  <c r="I21" i="63"/>
  <c r="J21" i="63"/>
  <c r="K21" i="63"/>
  <c r="I22" i="63"/>
  <c r="J22" i="63"/>
  <c r="K22" i="63"/>
  <c r="I23" i="63"/>
  <c r="I24" i="63"/>
  <c r="I25" i="63"/>
  <c r="I26" i="63"/>
  <c r="J26" i="63"/>
  <c r="K26" i="63"/>
  <c r="I27" i="63"/>
  <c r="I28" i="63"/>
  <c r="I30" i="63"/>
  <c r="J30" i="63"/>
  <c r="K30" i="63"/>
  <c r="I31" i="63"/>
  <c r="J31" i="63"/>
  <c r="K31" i="63"/>
  <c r="I33" i="63"/>
  <c r="I34" i="63"/>
  <c r="I35" i="63"/>
  <c r="I36" i="63"/>
  <c r="I37" i="63"/>
  <c r="J37" i="63"/>
  <c r="K37" i="63"/>
  <c r="I38" i="63"/>
  <c r="I39" i="63"/>
  <c r="I40" i="63"/>
  <c r="J40" i="63"/>
  <c r="K40" i="63"/>
  <c r="I41" i="63"/>
  <c r="I42" i="63"/>
  <c r="I43" i="63"/>
  <c r="I44" i="63"/>
  <c r="I45" i="63"/>
  <c r="I46" i="63"/>
  <c r="J46" i="63"/>
  <c r="K46" i="63"/>
  <c r="I47" i="63"/>
  <c r="J47" i="63"/>
  <c r="K47" i="63"/>
  <c r="I49" i="63"/>
  <c r="I50" i="63"/>
  <c r="I52" i="63"/>
  <c r="I53" i="63"/>
  <c r="J53" i="63"/>
  <c r="K53" i="63"/>
  <c r="I54" i="63"/>
  <c r="I55" i="63"/>
  <c r="I56" i="63"/>
  <c r="I57" i="63"/>
  <c r="J57" i="63"/>
  <c r="K57" i="63"/>
  <c r="I58" i="63"/>
  <c r="J58" i="63"/>
  <c r="K58" i="63"/>
  <c r="I59" i="63"/>
  <c r="I60" i="63"/>
  <c r="I61" i="63"/>
  <c r="I63" i="63"/>
  <c r="J63" i="63"/>
  <c r="K63" i="63"/>
  <c r="I64" i="63"/>
  <c r="I65" i="63"/>
  <c r="I66" i="63"/>
  <c r="J66" i="63"/>
  <c r="K66" i="63"/>
  <c r="I68" i="63"/>
  <c r="J68" i="63"/>
  <c r="K68" i="63"/>
  <c r="I69" i="63"/>
  <c r="I4" i="61"/>
  <c r="I5" i="61"/>
  <c r="I6" i="61"/>
  <c r="I7" i="61"/>
  <c r="I8" i="61"/>
  <c r="I9" i="61"/>
  <c r="I10" i="61"/>
  <c r="I11" i="61"/>
  <c r="I12" i="61"/>
  <c r="J12" i="61"/>
  <c r="I13" i="61"/>
  <c r="I14" i="61"/>
  <c r="I15" i="61"/>
  <c r="I16" i="61"/>
  <c r="J16" i="61"/>
  <c r="I17" i="61"/>
  <c r="I18" i="61"/>
  <c r="I19" i="61"/>
  <c r="I20" i="61"/>
  <c r="J20" i="61"/>
  <c r="I21" i="61"/>
  <c r="J21" i="61"/>
  <c r="I23" i="61"/>
  <c r="I24" i="61"/>
  <c r="I25" i="61"/>
  <c r="I26" i="61"/>
  <c r="J26" i="61"/>
  <c r="I27" i="61"/>
  <c r="I28" i="61"/>
  <c r="I29" i="61"/>
  <c r="J29" i="61"/>
  <c r="I30" i="61"/>
  <c r="J30" i="61"/>
  <c r="I32" i="61"/>
  <c r="I33" i="61"/>
  <c r="I34" i="61"/>
  <c r="I35" i="61"/>
  <c r="I36" i="61"/>
  <c r="J36" i="61"/>
  <c r="I37" i="61"/>
  <c r="I38" i="61"/>
  <c r="I39" i="61"/>
  <c r="J39" i="61"/>
  <c r="I40" i="61"/>
  <c r="I41" i="61"/>
  <c r="I42" i="61"/>
  <c r="I43" i="61"/>
  <c r="I44" i="61"/>
  <c r="I45" i="61"/>
  <c r="J45" i="61"/>
  <c r="I46" i="61"/>
  <c r="J46" i="61"/>
  <c r="I47" i="61"/>
  <c r="I213" i="61"/>
  <c r="I4" i="60"/>
  <c r="I5" i="60"/>
  <c r="J5" i="60"/>
  <c r="K5" i="60"/>
  <c r="I7" i="60"/>
  <c r="J7" i="60"/>
  <c r="K7" i="60"/>
  <c r="I8" i="60"/>
  <c r="I9" i="60"/>
  <c r="I10" i="60"/>
  <c r="I11" i="60"/>
  <c r="J11" i="60"/>
  <c r="K11" i="60"/>
  <c r="I13" i="60"/>
  <c r="I14" i="60"/>
  <c r="I15" i="60"/>
  <c r="J15" i="60"/>
  <c r="K15" i="60"/>
  <c r="I16" i="60"/>
  <c r="J16" i="60"/>
  <c r="K16" i="60"/>
  <c r="I4" i="24"/>
  <c r="I5" i="24"/>
  <c r="I6" i="24"/>
  <c r="I7" i="24"/>
  <c r="J7" i="24"/>
  <c r="K7" i="24"/>
  <c r="I8" i="24"/>
  <c r="I9" i="24"/>
  <c r="I10" i="24"/>
  <c r="I12" i="24"/>
  <c r="J12" i="24"/>
  <c r="K12" i="24"/>
  <c r="I13" i="24"/>
  <c r="I14" i="24"/>
  <c r="I15" i="24"/>
  <c r="I16" i="24"/>
  <c r="I17" i="24"/>
  <c r="I19" i="24"/>
  <c r="I20" i="24"/>
  <c r="I21" i="24"/>
  <c r="I22" i="24"/>
  <c r="J22" i="24"/>
  <c r="K22" i="24"/>
  <c r="I23" i="24"/>
  <c r="J23" i="24"/>
  <c r="K23" i="24"/>
  <c r="I4" i="31"/>
  <c r="I5" i="31"/>
  <c r="I6" i="31"/>
  <c r="I8" i="31"/>
  <c r="I9" i="31"/>
  <c r="I10" i="31"/>
  <c r="I11" i="31"/>
  <c r="J11" i="31"/>
  <c r="K11" i="31"/>
  <c r="I13" i="31"/>
  <c r="J13" i="31"/>
  <c r="K13" i="31"/>
  <c r="I30" i="31"/>
  <c r="I31" i="31"/>
  <c r="I32" i="31"/>
  <c r="I33" i="31"/>
  <c r="I35" i="31"/>
  <c r="I36" i="31"/>
  <c r="J36" i="31"/>
  <c r="K36" i="31"/>
  <c r="I37" i="31"/>
  <c r="I38" i="31"/>
  <c r="I39" i="31"/>
  <c r="I40" i="31"/>
  <c r="I41" i="31"/>
  <c r="I42" i="31"/>
  <c r="I43" i="31"/>
  <c r="I45" i="31"/>
  <c r="I46" i="31"/>
  <c r="J46" i="31"/>
  <c r="K46" i="31"/>
  <c r="I47" i="31"/>
  <c r="J47" i="31"/>
  <c r="K47" i="31"/>
  <c r="I48" i="31"/>
  <c r="I49" i="31"/>
  <c r="I50" i="31"/>
  <c r="I51" i="31"/>
  <c r="I52" i="31"/>
  <c r="I4" i="29"/>
  <c r="I6" i="29"/>
  <c r="I8" i="29"/>
  <c r="J8" i="29"/>
  <c r="K8" i="29"/>
  <c r="I9" i="29"/>
  <c r="I10" i="29"/>
  <c r="I12" i="29"/>
  <c r="I13" i="29"/>
  <c r="I14" i="29"/>
  <c r="I15" i="29"/>
  <c r="I16" i="29"/>
  <c r="I17" i="29"/>
  <c r="I19" i="29"/>
  <c r="I20" i="29"/>
  <c r="I21" i="29"/>
  <c r="J21" i="29"/>
  <c r="K21" i="29"/>
  <c r="I22" i="29"/>
  <c r="I23" i="29"/>
  <c r="I24" i="29"/>
  <c r="I25" i="29"/>
  <c r="I26" i="29"/>
  <c r="I27" i="29"/>
  <c r="J27" i="29"/>
  <c r="K27" i="29"/>
  <c r="I28" i="29"/>
  <c r="I29" i="29"/>
  <c r="I30" i="29"/>
  <c r="I31" i="29"/>
  <c r="I32" i="29"/>
  <c r="J32" i="29"/>
  <c r="K32" i="29"/>
  <c r="I33" i="29"/>
  <c r="I34" i="29"/>
  <c r="J34" i="29"/>
  <c r="K34" i="29"/>
  <c r="I35" i="29"/>
  <c r="J35" i="29"/>
  <c r="K35" i="29"/>
  <c r="I37" i="29"/>
  <c r="I4" i="76"/>
  <c r="I5" i="76"/>
  <c r="I6" i="76"/>
  <c r="I7" i="76"/>
  <c r="J7" i="76"/>
  <c r="K7" i="76"/>
  <c r="I8" i="76"/>
  <c r="J8" i="76"/>
  <c r="K8" i="76"/>
  <c r="I9" i="76"/>
  <c r="I10" i="76"/>
  <c r="J10" i="76"/>
  <c r="K10" i="76"/>
  <c r="I11" i="76"/>
  <c r="J11" i="76"/>
  <c r="K11" i="76"/>
  <c r="I12" i="76"/>
  <c r="I42" i="6"/>
  <c r="H42" i="6"/>
  <c r="G42" i="6"/>
  <c r="F42" i="6"/>
  <c r="I41" i="6"/>
  <c r="H41" i="6"/>
  <c r="G41" i="6"/>
  <c r="F41" i="6"/>
  <c r="I40" i="6"/>
  <c r="H40" i="6"/>
  <c r="G40" i="6"/>
  <c r="F40" i="6"/>
  <c r="I39" i="6"/>
  <c r="H39" i="6"/>
  <c r="G39" i="6"/>
  <c r="F39" i="6"/>
  <c r="I38" i="6"/>
  <c r="H38" i="6"/>
  <c r="G38" i="6"/>
  <c r="F38" i="6"/>
  <c r="I37" i="6"/>
  <c r="H37" i="6"/>
  <c r="G37" i="6"/>
  <c r="F37" i="6"/>
  <c r="I36" i="6"/>
  <c r="H36" i="6"/>
  <c r="G36" i="6"/>
  <c r="F36" i="6"/>
  <c r="I35" i="6"/>
  <c r="H35" i="6"/>
  <c r="G35" i="6"/>
  <c r="F35" i="6"/>
  <c r="I34" i="6"/>
  <c r="H34" i="6"/>
  <c r="G34" i="6"/>
  <c r="F34" i="6"/>
  <c r="I33" i="6"/>
  <c r="H33" i="6"/>
  <c r="G33" i="6"/>
  <c r="F33" i="6"/>
  <c r="I32" i="6"/>
  <c r="H32" i="6"/>
  <c r="G32" i="6"/>
  <c r="F32" i="6"/>
  <c r="I31" i="6"/>
  <c r="H31" i="6"/>
  <c r="G31" i="6"/>
  <c r="F31" i="6"/>
  <c r="I30" i="6"/>
  <c r="H30" i="6"/>
  <c r="G30" i="6"/>
  <c r="F30" i="6"/>
  <c r="I29" i="6"/>
  <c r="H29" i="6"/>
  <c r="G29" i="6"/>
  <c r="F29" i="6"/>
  <c r="I28" i="6"/>
  <c r="H28" i="6"/>
  <c r="G28" i="6"/>
  <c r="F28" i="6"/>
  <c r="I27" i="6"/>
  <c r="H27" i="6"/>
  <c r="G27" i="6"/>
  <c r="F27" i="6"/>
  <c r="I26" i="6"/>
  <c r="H26" i="6"/>
  <c r="G26" i="6"/>
  <c r="F26" i="6"/>
  <c r="I25" i="6"/>
  <c r="H25" i="6"/>
  <c r="G25" i="6"/>
  <c r="I24" i="6"/>
  <c r="H24" i="6"/>
  <c r="G24" i="6"/>
  <c r="F24" i="6"/>
  <c r="I23" i="6"/>
  <c r="H23" i="6"/>
  <c r="G23" i="6"/>
  <c r="F23" i="6"/>
  <c r="I22" i="6"/>
  <c r="H22" i="6"/>
  <c r="G22" i="6"/>
  <c r="F22" i="6"/>
  <c r="I21" i="6"/>
  <c r="H21" i="6"/>
  <c r="G21" i="6"/>
  <c r="F21" i="6"/>
  <c r="I20" i="6"/>
  <c r="H20" i="6"/>
  <c r="G20" i="6"/>
  <c r="F20" i="6"/>
  <c r="I19" i="6"/>
  <c r="H19" i="6"/>
  <c r="G19" i="6"/>
  <c r="F19" i="6"/>
  <c r="I18" i="6"/>
  <c r="H18" i="6"/>
  <c r="G18" i="6"/>
  <c r="F18" i="6"/>
  <c r="E18" i="6"/>
  <c r="I17" i="6"/>
  <c r="H17" i="6"/>
  <c r="G17" i="6"/>
  <c r="F17" i="6"/>
  <c r="G16" i="6"/>
  <c r="I16" i="6"/>
  <c r="H16" i="6"/>
  <c r="D16" i="6"/>
  <c r="F16" i="6"/>
  <c r="E42" i="6"/>
  <c r="E41" i="6"/>
  <c r="E39" i="6"/>
  <c r="E38" i="6"/>
  <c r="E37" i="6"/>
  <c r="E36" i="6"/>
  <c r="E35" i="6"/>
  <c r="E34" i="6"/>
  <c r="E33" i="6"/>
  <c r="E32" i="6"/>
  <c r="E31" i="6"/>
  <c r="E30" i="6"/>
  <c r="E29" i="6"/>
  <c r="E28" i="6"/>
  <c r="E27" i="6"/>
  <c r="E26" i="6"/>
  <c r="E24" i="6"/>
  <c r="E22" i="6"/>
  <c r="E21" i="6"/>
  <c r="E20" i="6"/>
  <c r="E19" i="6"/>
  <c r="E17" i="6"/>
  <c r="E16" i="6"/>
  <c r="D137" i="6"/>
  <c r="D138" i="6"/>
  <c r="D139" i="6"/>
  <c r="D140" i="6"/>
  <c r="D141" i="6"/>
  <c r="D144" i="6"/>
  <c r="D147" i="6"/>
  <c r="D149" i="6"/>
  <c r="D150" i="6"/>
  <c r="D151" i="6"/>
  <c r="D152" i="6"/>
  <c r="D153" i="6"/>
  <c r="D154" i="6"/>
  <c r="D162" i="6"/>
  <c r="D107" i="6"/>
  <c r="D110" i="6"/>
  <c r="D111" i="6"/>
  <c r="D112" i="6"/>
  <c r="D114" i="6"/>
  <c r="D117" i="6"/>
  <c r="D119" i="6"/>
  <c r="D121" i="6"/>
  <c r="D122" i="6"/>
  <c r="D123" i="6"/>
  <c r="D126" i="6"/>
  <c r="D127" i="6"/>
  <c r="D129" i="6"/>
  <c r="D77" i="6"/>
  <c r="D79" i="6"/>
  <c r="D82" i="6"/>
  <c r="D84" i="6"/>
  <c r="D87" i="6"/>
  <c r="D89" i="6"/>
  <c r="D91" i="6"/>
  <c r="D92" i="6"/>
  <c r="D93" i="6"/>
  <c r="D97" i="6"/>
  <c r="D98" i="6"/>
  <c r="D99" i="6"/>
  <c r="D101" i="6"/>
  <c r="D102" i="6"/>
  <c r="F6" i="2"/>
  <c r="C17" i="6"/>
  <c r="F11" i="2"/>
  <c r="C22" i="6"/>
  <c r="C142" i="6"/>
  <c r="I23" i="80"/>
  <c r="J23" i="80"/>
  <c r="C7" i="80"/>
  <c r="C8" i="80"/>
  <c r="C9" i="80"/>
  <c r="C10" i="80"/>
  <c r="C11" i="80"/>
  <c r="C12" i="80"/>
  <c r="C13" i="80"/>
  <c r="C14" i="80"/>
  <c r="C15" i="80"/>
  <c r="C16" i="80"/>
  <c r="C17" i="80"/>
  <c r="C18" i="80"/>
  <c r="C19" i="80"/>
  <c r="C20" i="80"/>
  <c r="C21" i="80"/>
  <c r="C22" i="80"/>
  <c r="C23" i="80"/>
  <c r="B23" i="80"/>
  <c r="B22" i="80"/>
  <c r="J21" i="80"/>
  <c r="B21" i="80"/>
  <c r="J20" i="80"/>
  <c r="K20" i="80"/>
  <c r="H20" i="80"/>
  <c r="B20" i="80"/>
  <c r="B19" i="80"/>
  <c r="B18" i="80"/>
  <c r="B17" i="80"/>
  <c r="J16" i="80"/>
  <c r="B16" i="80"/>
  <c r="B15" i="80"/>
  <c r="B14" i="80"/>
  <c r="J13" i="80"/>
  <c r="K13" i="80"/>
  <c r="B13" i="80"/>
  <c r="J12" i="80"/>
  <c r="B12" i="80"/>
  <c r="B11" i="80"/>
  <c r="B10" i="80"/>
  <c r="J9" i="80"/>
  <c r="K9" i="80"/>
  <c r="B9" i="80"/>
  <c r="J8" i="80"/>
  <c r="B8" i="80"/>
  <c r="H7" i="80"/>
  <c r="B7" i="80"/>
  <c r="J6" i="80"/>
  <c r="H6" i="80"/>
  <c r="B6" i="80"/>
  <c r="J5" i="80"/>
  <c r="K5" i="80"/>
  <c r="H5" i="80"/>
  <c r="B5" i="80"/>
  <c r="J4" i="80"/>
  <c r="H4" i="80"/>
  <c r="I9" i="79"/>
  <c r="J9" i="79"/>
  <c r="C5" i="79"/>
  <c r="C6" i="79"/>
  <c r="C7" i="79"/>
  <c r="C8" i="79"/>
  <c r="C9" i="79"/>
  <c r="B9" i="79"/>
  <c r="I8" i="79"/>
  <c r="J8" i="79"/>
  <c r="B8" i="79"/>
  <c r="I7" i="79"/>
  <c r="J7" i="79"/>
  <c r="L11" i="2"/>
  <c r="B7" i="79"/>
  <c r="I6" i="79"/>
  <c r="J6" i="79"/>
  <c r="K11" i="2"/>
  <c r="B6" i="79"/>
  <c r="I5" i="79"/>
  <c r="J5" i="79"/>
  <c r="J11" i="2"/>
  <c r="B5" i="79"/>
  <c r="I4" i="79"/>
  <c r="J4" i="79"/>
  <c r="I11" i="2"/>
  <c r="H11" i="2"/>
  <c r="C110" i="73"/>
  <c r="C111" i="73"/>
  <c r="C109" i="73"/>
  <c r="I17" i="26"/>
  <c r="J17" i="26"/>
  <c r="C7" i="32"/>
  <c r="C8" i="32"/>
  <c r="C9" i="32"/>
  <c r="C10" i="32"/>
  <c r="C11" i="32"/>
  <c r="C12" i="32"/>
  <c r="C13" i="32"/>
  <c r="C14" i="32"/>
  <c r="C15" i="32"/>
  <c r="C16" i="32"/>
  <c r="C17" i="32"/>
  <c r="C18" i="32"/>
  <c r="C19" i="32"/>
  <c r="C20" i="32"/>
  <c r="C21" i="32"/>
  <c r="C22" i="32"/>
  <c r="C23" i="32"/>
  <c r="C24" i="32"/>
  <c r="C26" i="32"/>
  <c r="C27" i="32"/>
  <c r="C28" i="32"/>
  <c r="C29" i="32"/>
  <c r="C30" i="32"/>
  <c r="C31" i="32"/>
  <c r="C32" i="32"/>
  <c r="C33" i="32"/>
  <c r="C34" i="32"/>
  <c r="C35" i="32"/>
  <c r="C36" i="32"/>
  <c r="C37" i="32"/>
  <c r="C38" i="32"/>
  <c r="C39" i="32"/>
  <c r="C40" i="32"/>
  <c r="C41" i="32"/>
  <c r="C42" i="32"/>
  <c r="C44" i="32"/>
  <c r="C45" i="32"/>
  <c r="C46" i="32"/>
  <c r="C47" i="32"/>
  <c r="C48" i="32"/>
  <c r="C49" i="32"/>
  <c r="C50" i="32"/>
  <c r="B50" i="32"/>
  <c r="C51" i="32"/>
  <c r="B51" i="32"/>
  <c r="I50" i="32"/>
  <c r="J50" i="32"/>
  <c r="B27" i="32"/>
  <c r="B28" i="32"/>
  <c r="I27" i="32"/>
  <c r="J27" i="32"/>
  <c r="K27" i="32"/>
  <c r="I44" i="32"/>
  <c r="J44" i="32"/>
  <c r="I45" i="32"/>
  <c r="J45" i="32"/>
  <c r="K45" i="32"/>
  <c r="I46" i="32"/>
  <c r="I47" i="32"/>
  <c r="J46" i="32"/>
  <c r="J47" i="32"/>
  <c r="I26" i="32"/>
  <c r="I28" i="32"/>
  <c r="I29" i="32"/>
  <c r="I30" i="32"/>
  <c r="J26" i="32"/>
  <c r="J28" i="32"/>
  <c r="J29" i="32"/>
  <c r="J30" i="32"/>
  <c r="I31" i="32"/>
  <c r="I32" i="32"/>
  <c r="I33" i="32"/>
  <c r="I34" i="32"/>
  <c r="J31" i="32"/>
  <c r="J32" i="32"/>
  <c r="J33" i="32"/>
  <c r="J34" i="32"/>
  <c r="I35" i="32"/>
  <c r="I36" i="32"/>
  <c r="I37" i="32"/>
  <c r="I38" i="32"/>
  <c r="J35" i="32"/>
  <c r="J36" i="32"/>
  <c r="J37" i="32"/>
  <c r="J38" i="32"/>
  <c r="I39" i="32"/>
  <c r="J39" i="32"/>
  <c r="K39" i="32"/>
  <c r="I40" i="32"/>
  <c r="I41" i="32"/>
  <c r="I42" i="32"/>
  <c r="J40" i="32"/>
  <c r="J41" i="32"/>
  <c r="J42" i="32"/>
  <c r="I48" i="32"/>
  <c r="I49" i="32"/>
  <c r="J48" i="32"/>
  <c r="J49" i="32"/>
  <c r="I51" i="32"/>
  <c r="J51" i="32"/>
  <c r="I24" i="32"/>
  <c r="J24" i="32"/>
  <c r="B206" i="61"/>
  <c r="B193" i="61"/>
  <c r="C167" i="61"/>
  <c r="B167" i="61"/>
  <c r="B100" i="61"/>
  <c r="C83" i="61"/>
  <c r="B83" i="61"/>
  <c r="C74" i="61"/>
  <c r="B74" i="61"/>
  <c r="I50" i="61"/>
  <c r="I51" i="61"/>
  <c r="I52" i="61"/>
  <c r="I53" i="61"/>
  <c r="I54" i="61"/>
  <c r="I55" i="61"/>
  <c r="I56" i="61"/>
  <c r="I57" i="61"/>
  <c r="I58" i="61"/>
  <c r="I59" i="61"/>
  <c r="I60" i="61"/>
  <c r="I61" i="61"/>
  <c r="I62" i="61"/>
  <c r="I63" i="61"/>
  <c r="I64" i="61"/>
  <c r="I65" i="61"/>
  <c r="I66" i="61"/>
  <c r="I67" i="61"/>
  <c r="I68" i="61"/>
  <c r="I69" i="61"/>
  <c r="I70" i="61"/>
  <c r="I71" i="61"/>
  <c r="I72" i="61"/>
  <c r="I73" i="61"/>
  <c r="I75" i="61"/>
  <c r="I76" i="61"/>
  <c r="I77" i="61"/>
  <c r="I78" i="61"/>
  <c r="I79" i="61"/>
  <c r="I80" i="61"/>
  <c r="I81" i="61"/>
  <c r="I84" i="61"/>
  <c r="I85" i="61"/>
  <c r="I86" i="61"/>
  <c r="I87" i="61"/>
  <c r="I88" i="61"/>
  <c r="I89" i="61"/>
  <c r="I90" i="61"/>
  <c r="I91" i="61"/>
  <c r="I92" i="61"/>
  <c r="I93" i="61"/>
  <c r="I94" i="61"/>
  <c r="I95" i="61"/>
  <c r="I96" i="61"/>
  <c r="I97" i="61"/>
  <c r="I98" i="61"/>
  <c r="I99" i="61"/>
  <c r="I101" i="61"/>
  <c r="I102" i="61"/>
  <c r="I103" i="61"/>
  <c r="I104" i="61"/>
  <c r="I105" i="61"/>
  <c r="I106" i="61"/>
  <c r="I107" i="61"/>
  <c r="I108" i="61"/>
  <c r="I109" i="61"/>
  <c r="I110" i="61"/>
  <c r="I111" i="61"/>
  <c r="I112" i="61"/>
  <c r="I113" i="61"/>
  <c r="I114" i="61"/>
  <c r="I115" i="61"/>
  <c r="I116" i="61"/>
  <c r="I117" i="61"/>
  <c r="I118" i="61"/>
  <c r="I119" i="61"/>
  <c r="I120" i="61"/>
  <c r="I121" i="61"/>
  <c r="I122" i="61"/>
  <c r="I123" i="61"/>
  <c r="I124" i="61"/>
  <c r="I125" i="61"/>
  <c r="I126" i="61"/>
  <c r="I127" i="61"/>
  <c r="I128" i="61"/>
  <c r="I129" i="61"/>
  <c r="I130" i="61"/>
  <c r="I131" i="61"/>
  <c r="I132" i="61"/>
  <c r="J50" i="61"/>
  <c r="J51" i="61"/>
  <c r="J52" i="61"/>
  <c r="J53" i="61"/>
  <c r="J54" i="61"/>
  <c r="J55" i="61"/>
  <c r="J56" i="61"/>
  <c r="J57" i="61"/>
  <c r="J58" i="61"/>
  <c r="J59" i="61"/>
  <c r="J60" i="61"/>
  <c r="J61" i="61"/>
  <c r="J62" i="61"/>
  <c r="J63" i="61"/>
  <c r="J64" i="61"/>
  <c r="J65" i="61"/>
  <c r="J66" i="61"/>
  <c r="J67" i="61"/>
  <c r="J68" i="61"/>
  <c r="J69" i="61"/>
  <c r="J70" i="61"/>
  <c r="J71" i="61"/>
  <c r="J72" i="61"/>
  <c r="J73" i="61"/>
  <c r="J75" i="61"/>
  <c r="J76" i="61"/>
  <c r="J77" i="61"/>
  <c r="J78" i="61"/>
  <c r="J79" i="61"/>
  <c r="J80" i="61"/>
  <c r="J81" i="61"/>
  <c r="J84" i="61"/>
  <c r="J85" i="61"/>
  <c r="J86" i="61"/>
  <c r="J87" i="61"/>
  <c r="J88" i="61"/>
  <c r="J89" i="61"/>
  <c r="J90" i="61"/>
  <c r="J91" i="61"/>
  <c r="J92" i="61"/>
  <c r="J93" i="61"/>
  <c r="J94" i="61"/>
  <c r="J95" i="61"/>
  <c r="J96" i="61"/>
  <c r="J97" i="61"/>
  <c r="J98" i="61"/>
  <c r="J99" i="61"/>
  <c r="J101" i="61"/>
  <c r="J102" i="61"/>
  <c r="J103" i="61"/>
  <c r="J104" i="61"/>
  <c r="J105" i="61"/>
  <c r="J106" i="61"/>
  <c r="J107" i="61"/>
  <c r="J108" i="61"/>
  <c r="J109" i="61"/>
  <c r="J110" i="61"/>
  <c r="J111" i="61"/>
  <c r="J112" i="61"/>
  <c r="J113" i="61"/>
  <c r="J114" i="61"/>
  <c r="J115" i="61"/>
  <c r="J116" i="61"/>
  <c r="J117" i="61"/>
  <c r="J118" i="61"/>
  <c r="J119" i="61"/>
  <c r="J120" i="61"/>
  <c r="J121" i="61"/>
  <c r="J122" i="61"/>
  <c r="J123" i="61"/>
  <c r="J124" i="61"/>
  <c r="J125" i="61"/>
  <c r="J126" i="61"/>
  <c r="J127" i="61"/>
  <c r="J128" i="61"/>
  <c r="J129" i="61"/>
  <c r="J130" i="61"/>
  <c r="J131" i="61"/>
  <c r="J132" i="61"/>
  <c r="I133" i="61"/>
  <c r="I134" i="61"/>
  <c r="I135" i="61"/>
  <c r="I136" i="61"/>
  <c r="I137" i="61"/>
  <c r="I138" i="61"/>
  <c r="I139" i="61"/>
  <c r="I140" i="61"/>
  <c r="J133" i="61"/>
  <c r="J134" i="61"/>
  <c r="J135" i="61"/>
  <c r="J136" i="61"/>
  <c r="J137" i="61"/>
  <c r="J138" i="61"/>
  <c r="J139" i="61"/>
  <c r="J140" i="61"/>
  <c r="I141" i="61"/>
  <c r="I142" i="61"/>
  <c r="I143" i="61"/>
  <c r="I144" i="61"/>
  <c r="I145" i="61"/>
  <c r="I146" i="61"/>
  <c r="I147" i="61"/>
  <c r="I148" i="61"/>
  <c r="J141" i="61"/>
  <c r="J142" i="61"/>
  <c r="J143" i="61"/>
  <c r="J144" i="61"/>
  <c r="J145" i="61"/>
  <c r="J146" i="61"/>
  <c r="J147" i="61"/>
  <c r="J148" i="61"/>
  <c r="I149" i="61"/>
  <c r="I150" i="61"/>
  <c r="I151" i="61"/>
  <c r="I152" i="61"/>
  <c r="I153" i="61"/>
  <c r="I154" i="61"/>
  <c r="I155" i="61"/>
  <c r="I156" i="61"/>
  <c r="J149" i="61"/>
  <c r="J150" i="61"/>
  <c r="J151" i="61"/>
  <c r="J152" i="61"/>
  <c r="J153" i="61"/>
  <c r="J154" i="61"/>
  <c r="J155" i="61"/>
  <c r="J156" i="61"/>
  <c r="I157" i="61"/>
  <c r="I158" i="61"/>
  <c r="I159" i="61"/>
  <c r="I160" i="61"/>
  <c r="I161" i="61"/>
  <c r="I162" i="61"/>
  <c r="I163" i="61"/>
  <c r="I164" i="61"/>
  <c r="J157" i="61"/>
  <c r="J158" i="61"/>
  <c r="J159" i="61"/>
  <c r="J160" i="61"/>
  <c r="J161" i="61"/>
  <c r="J162" i="61"/>
  <c r="J163" i="61"/>
  <c r="J164" i="61"/>
  <c r="I165" i="61"/>
  <c r="I166" i="61"/>
  <c r="I168" i="61"/>
  <c r="I169" i="61"/>
  <c r="I170" i="61"/>
  <c r="I171" i="61"/>
  <c r="I172" i="61"/>
  <c r="I173" i="61"/>
  <c r="J165" i="61"/>
  <c r="J166" i="61"/>
  <c r="J168" i="61"/>
  <c r="J169" i="61"/>
  <c r="J170" i="61"/>
  <c r="J171" i="61"/>
  <c r="J172" i="61"/>
  <c r="J173" i="61"/>
  <c r="I174" i="61"/>
  <c r="I175" i="61"/>
  <c r="I176" i="61"/>
  <c r="I177" i="61"/>
  <c r="I178" i="61"/>
  <c r="I179" i="61"/>
  <c r="I180" i="61"/>
  <c r="I181" i="61"/>
  <c r="J174" i="61"/>
  <c r="J175" i="61"/>
  <c r="J176" i="61"/>
  <c r="J177" i="61"/>
  <c r="J178" i="61"/>
  <c r="J179" i="61"/>
  <c r="J180" i="61"/>
  <c r="J181" i="61"/>
  <c r="I182" i="61"/>
  <c r="I183" i="61"/>
  <c r="I184" i="61"/>
  <c r="I185" i="61"/>
  <c r="I186" i="61"/>
  <c r="I187" i="61"/>
  <c r="I188" i="61"/>
  <c r="I189" i="61"/>
  <c r="J182" i="61"/>
  <c r="J183" i="61"/>
  <c r="J184" i="61"/>
  <c r="J185" i="61"/>
  <c r="J186" i="61"/>
  <c r="J187" i="61"/>
  <c r="J188" i="61"/>
  <c r="J189" i="61"/>
  <c r="I190" i="61"/>
  <c r="I191" i="61"/>
  <c r="I192" i="61"/>
  <c r="I194" i="61"/>
  <c r="I195" i="61"/>
  <c r="I196" i="61"/>
  <c r="I197" i="61"/>
  <c r="J190" i="61"/>
  <c r="J191" i="61"/>
  <c r="J192" i="61"/>
  <c r="J194" i="61"/>
  <c r="J195" i="61"/>
  <c r="J196" i="61"/>
  <c r="J197" i="61"/>
  <c r="I198" i="61"/>
  <c r="I199" i="61"/>
  <c r="I200" i="61"/>
  <c r="I201" i="61"/>
  <c r="I202" i="61"/>
  <c r="I203" i="61"/>
  <c r="I204" i="61"/>
  <c r="I205" i="61"/>
  <c r="J198" i="61"/>
  <c r="J199" i="61"/>
  <c r="J200" i="61"/>
  <c r="J201" i="61"/>
  <c r="J202" i="61"/>
  <c r="J203" i="61"/>
  <c r="J204" i="61"/>
  <c r="J205" i="61"/>
  <c r="I207" i="61"/>
  <c r="I208" i="61"/>
  <c r="I209" i="61"/>
  <c r="J207" i="61"/>
  <c r="J208" i="61"/>
  <c r="J209" i="61"/>
  <c r="I210" i="61"/>
  <c r="I211" i="61"/>
  <c r="J210" i="61"/>
  <c r="J211" i="61"/>
  <c r="I212" i="61"/>
  <c r="J212" i="61"/>
  <c r="I48" i="61"/>
  <c r="J48" i="61"/>
  <c r="C61" i="73"/>
  <c r="C85" i="73"/>
  <c r="B85" i="73"/>
  <c r="C92" i="73"/>
  <c r="B92" i="73"/>
  <c r="C96" i="73"/>
  <c r="I152" i="73"/>
  <c r="I153" i="73"/>
  <c r="I154" i="73"/>
  <c r="I155" i="73"/>
  <c r="I156" i="73"/>
  <c r="I157" i="73"/>
  <c r="I158" i="73"/>
  <c r="J152" i="73"/>
  <c r="J153" i="73"/>
  <c r="J154" i="73"/>
  <c r="J155" i="73"/>
  <c r="J156" i="73"/>
  <c r="J157" i="73"/>
  <c r="J158" i="73"/>
  <c r="B96" i="73"/>
  <c r="I86" i="73"/>
  <c r="I87" i="73"/>
  <c r="I88" i="73"/>
  <c r="I89" i="73"/>
  <c r="I90" i="73"/>
  <c r="I91" i="73"/>
  <c r="I93" i="73"/>
  <c r="I94" i="73"/>
  <c r="I95" i="73"/>
  <c r="I97" i="73"/>
  <c r="I98" i="73"/>
  <c r="I99" i="73"/>
  <c r="I100" i="73"/>
  <c r="I101" i="73"/>
  <c r="I102" i="73"/>
  <c r="J86" i="73"/>
  <c r="J87" i="73"/>
  <c r="J88" i="73"/>
  <c r="J89" i="73"/>
  <c r="J90" i="73"/>
  <c r="J91" i="73"/>
  <c r="J93" i="73"/>
  <c r="J94" i="73"/>
  <c r="J95" i="73"/>
  <c r="J97" i="73"/>
  <c r="J98" i="73"/>
  <c r="J99" i="73"/>
  <c r="J100" i="73"/>
  <c r="J101" i="73"/>
  <c r="J102" i="73"/>
  <c r="I103" i="73"/>
  <c r="I104" i="73"/>
  <c r="I105" i="73"/>
  <c r="I106" i="73"/>
  <c r="I108" i="73"/>
  <c r="I109" i="73"/>
  <c r="I110" i="73"/>
  <c r="I111" i="73"/>
  <c r="I112" i="73"/>
  <c r="I113" i="73"/>
  <c r="I114" i="73"/>
  <c r="I115" i="73"/>
  <c r="I116" i="73"/>
  <c r="I117" i="73"/>
  <c r="I118" i="73"/>
  <c r="I119" i="73"/>
  <c r="I120" i="73"/>
  <c r="J103" i="73"/>
  <c r="J104" i="73"/>
  <c r="J105" i="73"/>
  <c r="J106" i="73"/>
  <c r="J108" i="73"/>
  <c r="J109" i="73"/>
  <c r="J110" i="73"/>
  <c r="J111" i="73"/>
  <c r="J112" i="73"/>
  <c r="J113" i="73"/>
  <c r="J114" i="73"/>
  <c r="J115" i="73"/>
  <c r="J116" i="73"/>
  <c r="J117" i="73"/>
  <c r="J118" i="73"/>
  <c r="J119" i="73"/>
  <c r="J120" i="73"/>
  <c r="I121" i="73"/>
  <c r="I122" i="73"/>
  <c r="I123" i="73"/>
  <c r="I124" i="73"/>
  <c r="I125" i="73"/>
  <c r="I126" i="73"/>
  <c r="J121" i="73"/>
  <c r="J122" i="73"/>
  <c r="J123" i="73"/>
  <c r="J124" i="73"/>
  <c r="J125" i="73"/>
  <c r="J126" i="73"/>
  <c r="I127" i="73"/>
  <c r="I128" i="73"/>
  <c r="I129" i="73"/>
  <c r="I130" i="73"/>
  <c r="I131" i="73"/>
  <c r="I132" i="73"/>
  <c r="J127" i="73"/>
  <c r="J128" i="73"/>
  <c r="J129" i="73"/>
  <c r="J130" i="73"/>
  <c r="J131" i="73"/>
  <c r="J132" i="73"/>
  <c r="I133" i="73"/>
  <c r="I134" i="73"/>
  <c r="I135" i="73"/>
  <c r="I136" i="73"/>
  <c r="I137" i="73"/>
  <c r="I138" i="73"/>
  <c r="J133" i="73"/>
  <c r="J134" i="73"/>
  <c r="J135" i="73"/>
  <c r="J136" i="73"/>
  <c r="J137" i="73"/>
  <c r="J138" i="73"/>
  <c r="I139" i="73"/>
  <c r="I140" i="73"/>
  <c r="I141" i="73"/>
  <c r="I142" i="73"/>
  <c r="I143" i="73"/>
  <c r="I144" i="73"/>
  <c r="J139" i="73"/>
  <c r="J140" i="73"/>
  <c r="J141" i="73"/>
  <c r="J142" i="73"/>
  <c r="J143" i="73"/>
  <c r="J144" i="73"/>
  <c r="I146" i="73"/>
  <c r="J146" i="73"/>
  <c r="I147" i="73"/>
  <c r="J147" i="73"/>
  <c r="I145" i="73"/>
  <c r="J145" i="73"/>
  <c r="I148" i="73"/>
  <c r="J148" i="73"/>
  <c r="I149" i="73"/>
  <c r="J149" i="73"/>
  <c r="I150" i="73"/>
  <c r="J150" i="73"/>
  <c r="I84" i="73"/>
  <c r="J84" i="73"/>
  <c r="I70" i="73"/>
  <c r="I71" i="73"/>
  <c r="I72" i="73"/>
  <c r="I73" i="73"/>
  <c r="I74" i="73"/>
  <c r="I75" i="73"/>
  <c r="I76" i="73"/>
  <c r="I77" i="73"/>
  <c r="I78" i="73"/>
  <c r="I79" i="73"/>
  <c r="I80" i="73"/>
  <c r="I81" i="73"/>
  <c r="I82" i="73"/>
  <c r="I83" i="73"/>
  <c r="I151" i="73"/>
  <c r="J70" i="73"/>
  <c r="J71" i="73"/>
  <c r="J72" i="73"/>
  <c r="J73" i="73"/>
  <c r="J74" i="73"/>
  <c r="J75" i="73"/>
  <c r="J76" i="73"/>
  <c r="J77" i="73"/>
  <c r="J78" i="73"/>
  <c r="J79" i="73"/>
  <c r="J80" i="73"/>
  <c r="J81" i="73"/>
  <c r="J82" i="73"/>
  <c r="J83" i="73"/>
  <c r="J151" i="73"/>
  <c r="B61" i="73"/>
  <c r="C38" i="73"/>
  <c r="B38" i="73"/>
  <c r="I35" i="73"/>
  <c r="I36" i="73"/>
  <c r="I37" i="73"/>
  <c r="I39" i="73"/>
  <c r="I40" i="73"/>
  <c r="I41" i="73"/>
  <c r="J35" i="73"/>
  <c r="J36" i="73"/>
  <c r="J37" i="73"/>
  <c r="J39" i="73"/>
  <c r="J40" i="73"/>
  <c r="J41" i="73"/>
  <c r="I42" i="73"/>
  <c r="I43" i="73"/>
  <c r="I44" i="73"/>
  <c r="I45" i="73"/>
  <c r="I46" i="73"/>
  <c r="I47" i="73"/>
  <c r="I48" i="73"/>
  <c r="J42" i="73"/>
  <c r="J43" i="73"/>
  <c r="J44" i="73"/>
  <c r="J45" i="73"/>
  <c r="J46" i="73"/>
  <c r="J47" i="73"/>
  <c r="J48" i="73"/>
  <c r="I49" i="73"/>
  <c r="I50" i="73"/>
  <c r="I51" i="73"/>
  <c r="I52" i="73"/>
  <c r="I53" i="73"/>
  <c r="I54" i="73"/>
  <c r="I55" i="73"/>
  <c r="J49" i="73"/>
  <c r="J50" i="73"/>
  <c r="J51" i="73"/>
  <c r="J52" i="73"/>
  <c r="J53" i="73"/>
  <c r="J54" i="73"/>
  <c r="J55" i="73"/>
  <c r="I56" i="73"/>
  <c r="I57" i="73"/>
  <c r="I58" i="73"/>
  <c r="I59" i="73"/>
  <c r="I60" i="73"/>
  <c r="I62" i="73"/>
  <c r="J56" i="73"/>
  <c r="J57" i="73"/>
  <c r="J58" i="73"/>
  <c r="J59" i="73"/>
  <c r="J60" i="73"/>
  <c r="J62" i="73"/>
  <c r="I63" i="73"/>
  <c r="J63" i="73"/>
  <c r="I64" i="73"/>
  <c r="J64" i="73"/>
  <c r="I65" i="73"/>
  <c r="J65" i="73"/>
  <c r="I66" i="73"/>
  <c r="J66" i="73"/>
  <c r="I67" i="73"/>
  <c r="J67" i="73"/>
  <c r="I68" i="73"/>
  <c r="J68" i="73"/>
  <c r="I33" i="73"/>
  <c r="J33" i="73"/>
  <c r="H11" i="62"/>
  <c r="H12" i="62"/>
  <c r="H13" i="62"/>
  <c r="H14" i="62"/>
  <c r="H15" i="62"/>
  <c r="H16" i="62"/>
  <c r="H17" i="62"/>
  <c r="H18" i="62"/>
  <c r="H19" i="62"/>
  <c r="F7" i="2"/>
  <c r="C18" i="6"/>
  <c r="C138" i="6"/>
  <c r="C51" i="63"/>
  <c r="B51" i="63"/>
  <c r="J78" i="63"/>
  <c r="I78" i="63"/>
  <c r="J76" i="63"/>
  <c r="I76" i="63"/>
  <c r="J74" i="63"/>
  <c r="I74" i="63"/>
  <c r="J72" i="63"/>
  <c r="I72" i="63"/>
  <c r="K72" i="63"/>
  <c r="J71" i="63"/>
  <c r="I71" i="63"/>
  <c r="K71" i="63"/>
  <c r="J69" i="63"/>
  <c r="J65" i="63"/>
  <c r="K65" i="63"/>
  <c r="J64" i="63"/>
  <c r="J61" i="63"/>
  <c r="K61" i="63"/>
  <c r="J60" i="63"/>
  <c r="K60" i="63"/>
  <c r="J59" i="63"/>
  <c r="J56" i="63"/>
  <c r="K56" i="63"/>
  <c r="J55" i="63"/>
  <c r="J54" i="63"/>
  <c r="K54" i="63"/>
  <c r="J52" i="63"/>
  <c r="K52" i="63"/>
  <c r="J50" i="63"/>
  <c r="J49" i="63"/>
  <c r="K49" i="63"/>
  <c r="J45" i="63"/>
  <c r="J44" i="63"/>
  <c r="K44" i="63"/>
  <c r="J43" i="63"/>
  <c r="K43" i="63"/>
  <c r="J42" i="63"/>
  <c r="K42" i="63"/>
  <c r="J41" i="63"/>
  <c r="J39" i="63"/>
  <c r="K39" i="63"/>
  <c r="C32" i="63"/>
  <c r="B32" i="63"/>
  <c r="C13" i="63"/>
  <c r="B13" i="63"/>
  <c r="C9" i="63"/>
  <c r="B9" i="63"/>
  <c r="C11" i="74"/>
  <c r="B11" i="74"/>
  <c r="C28" i="73"/>
  <c r="B28" i="73"/>
  <c r="C27" i="71"/>
  <c r="B27" i="71"/>
  <c r="C7" i="71"/>
  <c r="B7" i="71"/>
  <c r="H8" i="71"/>
  <c r="I8" i="71"/>
  <c r="J8" i="71"/>
  <c r="H9" i="71"/>
  <c r="I9" i="71"/>
  <c r="J9" i="71"/>
  <c r="K9" i="71"/>
  <c r="H10" i="71"/>
  <c r="I10" i="71"/>
  <c r="J10" i="71"/>
  <c r="H11" i="71"/>
  <c r="I11" i="71"/>
  <c r="J11" i="71"/>
  <c r="K11" i="71"/>
  <c r="H12" i="71"/>
  <c r="I12" i="71"/>
  <c r="J12" i="71"/>
  <c r="H13" i="71"/>
  <c r="I13" i="71"/>
  <c r="J13" i="71"/>
  <c r="H14" i="71"/>
  <c r="I14" i="71"/>
  <c r="J14" i="71"/>
  <c r="H15" i="71"/>
  <c r="I15" i="71"/>
  <c r="J15" i="71"/>
  <c r="H16" i="71"/>
  <c r="I16" i="71"/>
  <c r="J16" i="71"/>
  <c r="H17" i="71"/>
  <c r="I17" i="71"/>
  <c r="J17" i="71"/>
  <c r="H18" i="71"/>
  <c r="I18" i="71"/>
  <c r="J18" i="71"/>
  <c r="H19" i="71"/>
  <c r="I19" i="71"/>
  <c r="J19" i="71"/>
  <c r="H20" i="71"/>
  <c r="I20" i="71"/>
  <c r="J20" i="71"/>
  <c r="I21" i="71"/>
  <c r="J21" i="71"/>
  <c r="I22" i="71"/>
  <c r="J22" i="71"/>
  <c r="I23" i="71"/>
  <c r="J23" i="71"/>
  <c r="I24" i="71"/>
  <c r="J24" i="71"/>
  <c r="I25" i="71"/>
  <c r="J25" i="71"/>
  <c r="C38" i="70"/>
  <c r="B38" i="70"/>
  <c r="C9" i="70"/>
  <c r="B9" i="70"/>
  <c r="C46" i="69"/>
  <c r="B46" i="69"/>
  <c r="I47" i="69"/>
  <c r="J47" i="69"/>
  <c r="I44" i="69"/>
  <c r="J44" i="69"/>
  <c r="J57" i="69"/>
  <c r="I57" i="69"/>
  <c r="K57" i="69"/>
  <c r="J56" i="69"/>
  <c r="I56" i="69"/>
  <c r="J55" i="69"/>
  <c r="I55" i="69"/>
  <c r="J54" i="69"/>
  <c r="I54" i="69"/>
  <c r="J53" i="69"/>
  <c r="I53" i="69"/>
  <c r="J52" i="69"/>
  <c r="I52" i="69"/>
  <c r="J51" i="69"/>
  <c r="I51" i="69"/>
  <c r="J50" i="69"/>
  <c r="I50" i="69"/>
  <c r="J49" i="69"/>
  <c r="I49" i="69"/>
  <c r="C27" i="69"/>
  <c r="B27" i="69"/>
  <c r="C6" i="69"/>
  <c r="B6" i="69"/>
  <c r="C23" i="66"/>
  <c r="B23" i="66"/>
  <c r="C19" i="66"/>
  <c r="B19" i="66"/>
  <c r="C7" i="66"/>
  <c r="B7" i="66"/>
  <c r="J213" i="61"/>
  <c r="J47" i="61"/>
  <c r="C31" i="61"/>
  <c r="B31" i="61"/>
  <c r="C22" i="61"/>
  <c r="B22" i="61"/>
  <c r="C6" i="60"/>
  <c r="B6" i="60"/>
  <c r="C12" i="60"/>
  <c r="B12" i="60"/>
  <c r="C17" i="56"/>
  <c r="B17" i="56"/>
  <c r="J11" i="77"/>
  <c r="I11" i="77"/>
  <c r="J10" i="77"/>
  <c r="I10" i="77"/>
  <c r="J9" i="77"/>
  <c r="I9" i="77"/>
  <c r="J8" i="77"/>
  <c r="I8" i="77"/>
  <c r="J7" i="77"/>
  <c r="I7" i="77"/>
  <c r="J6" i="77"/>
  <c r="I6" i="77"/>
  <c r="K7" i="2"/>
  <c r="J5" i="77"/>
  <c r="I5" i="77"/>
  <c r="C5" i="77"/>
  <c r="B5" i="77"/>
  <c r="J4" i="77"/>
  <c r="I4" i="77"/>
  <c r="I7" i="2"/>
  <c r="H7" i="2"/>
  <c r="J12" i="76"/>
  <c r="K12" i="76"/>
  <c r="J9" i="76"/>
  <c r="L6" i="2"/>
  <c r="J6" i="76"/>
  <c r="K6" i="76"/>
  <c r="K6" i="2"/>
  <c r="J5" i="76"/>
  <c r="J6" i="2"/>
  <c r="C5" i="76"/>
  <c r="B5" i="76"/>
  <c r="J4" i="76"/>
  <c r="K4" i="76"/>
  <c r="H6" i="2"/>
  <c r="J7" i="2"/>
  <c r="L7" i="2"/>
  <c r="I6" i="2"/>
  <c r="C6" i="77"/>
  <c r="B6" i="77"/>
  <c r="C6" i="76"/>
  <c r="B6" i="76"/>
  <c r="C7" i="77"/>
  <c r="B7" i="77"/>
  <c r="C7" i="76"/>
  <c r="C8" i="77"/>
  <c r="B8" i="77"/>
  <c r="B7" i="76"/>
  <c r="C8" i="76"/>
  <c r="B8" i="76"/>
  <c r="C9" i="76"/>
  <c r="B9" i="76"/>
  <c r="C9" i="77"/>
  <c r="C10" i="76"/>
  <c r="B10" i="76"/>
  <c r="B9" i="77"/>
  <c r="C10" i="77"/>
  <c r="B10" i="77"/>
  <c r="C11" i="76"/>
  <c r="B11" i="76"/>
  <c r="C11" i="77"/>
  <c r="C12" i="76"/>
  <c r="B12" i="76"/>
  <c r="B11" i="77"/>
  <c r="F30" i="2"/>
  <c r="C41" i="6"/>
  <c r="C131" i="6"/>
  <c r="F28" i="2"/>
  <c r="C39" i="6"/>
  <c r="C99" i="6"/>
  <c r="F27" i="2"/>
  <c r="C38" i="6"/>
  <c r="C158" i="6"/>
  <c r="F26" i="2"/>
  <c r="C37" i="6"/>
  <c r="F25" i="2"/>
  <c r="C36" i="6"/>
  <c r="C156" i="6"/>
  <c r="F24" i="2"/>
  <c r="C35" i="6"/>
  <c r="C155" i="6"/>
  <c r="F22" i="2"/>
  <c r="C33" i="6"/>
  <c r="C153" i="6"/>
  <c r="F21" i="2"/>
  <c r="C32" i="6"/>
  <c r="C92" i="6"/>
  <c r="F20" i="2"/>
  <c r="C31" i="6"/>
  <c r="C151" i="6"/>
  <c r="F18" i="2"/>
  <c r="C29" i="6"/>
  <c r="F17" i="2"/>
  <c r="C28" i="6"/>
  <c r="F16" i="2"/>
  <c r="C27" i="6"/>
  <c r="C87" i="6"/>
  <c r="F13" i="2"/>
  <c r="C24" i="6"/>
  <c r="J13" i="74"/>
  <c r="J10" i="74"/>
  <c r="J9" i="74"/>
  <c r="J7" i="74"/>
  <c r="K7" i="74"/>
  <c r="K30" i="2"/>
  <c r="J5" i="74"/>
  <c r="C5" i="74"/>
  <c r="B5" i="74"/>
  <c r="H30" i="2"/>
  <c r="J69" i="73"/>
  <c r="I69" i="73"/>
  <c r="J32" i="73"/>
  <c r="I32" i="73"/>
  <c r="J31" i="73"/>
  <c r="I31" i="73"/>
  <c r="J30" i="73"/>
  <c r="I30" i="73"/>
  <c r="J29" i="73"/>
  <c r="I29" i="73"/>
  <c r="J27" i="73"/>
  <c r="I27" i="73"/>
  <c r="J26" i="73"/>
  <c r="I26" i="73"/>
  <c r="J25" i="73"/>
  <c r="I25" i="73"/>
  <c r="J24" i="73"/>
  <c r="I24" i="73"/>
  <c r="J23" i="73"/>
  <c r="I23" i="73"/>
  <c r="J22" i="73"/>
  <c r="I22" i="73"/>
  <c r="J21" i="73"/>
  <c r="I21" i="73"/>
  <c r="J20" i="73"/>
  <c r="I20" i="73"/>
  <c r="J19" i="73"/>
  <c r="I19" i="73"/>
  <c r="H19" i="73"/>
  <c r="J18" i="73"/>
  <c r="I18" i="73"/>
  <c r="H18" i="73"/>
  <c r="J17" i="73"/>
  <c r="I17" i="73"/>
  <c r="H17" i="73"/>
  <c r="J16" i="73"/>
  <c r="I16" i="73"/>
  <c r="H16" i="73"/>
  <c r="J15" i="73"/>
  <c r="I15" i="73"/>
  <c r="H15" i="73"/>
  <c r="J14" i="73"/>
  <c r="I14" i="73"/>
  <c r="H14" i="73"/>
  <c r="J13" i="73"/>
  <c r="I13" i="73"/>
  <c r="H13" i="73"/>
  <c r="J12" i="73"/>
  <c r="I12" i="73"/>
  <c r="H12" i="73"/>
  <c r="J11" i="73"/>
  <c r="I11" i="73"/>
  <c r="H11" i="73"/>
  <c r="J10" i="73"/>
  <c r="I10" i="73"/>
  <c r="H10" i="73"/>
  <c r="J9" i="73"/>
  <c r="I9" i="73"/>
  <c r="H9" i="73"/>
  <c r="J8" i="73"/>
  <c r="I8" i="73"/>
  <c r="H8" i="73"/>
  <c r="J7" i="73"/>
  <c r="I7" i="73"/>
  <c r="H7" i="73"/>
  <c r="J6" i="73"/>
  <c r="I6" i="73"/>
  <c r="H6" i="73"/>
  <c r="J5" i="73"/>
  <c r="I5" i="73"/>
  <c r="H5" i="73"/>
  <c r="C5" i="73"/>
  <c r="J4" i="73"/>
  <c r="I4" i="73"/>
  <c r="H4" i="73"/>
  <c r="H3" i="73"/>
  <c r="H19" i="72"/>
  <c r="H18" i="72"/>
  <c r="H17" i="72"/>
  <c r="H16" i="72"/>
  <c r="H15" i="72"/>
  <c r="H14" i="72"/>
  <c r="H13" i="72"/>
  <c r="H12" i="72"/>
  <c r="H11" i="72"/>
  <c r="H10" i="72"/>
  <c r="H9" i="72"/>
  <c r="H8" i="72"/>
  <c r="H7" i="72"/>
  <c r="H6" i="72"/>
  <c r="H5" i="72"/>
  <c r="J4" i="72"/>
  <c r="I4" i="72"/>
  <c r="H4" i="72"/>
  <c r="H3" i="72"/>
  <c r="J32" i="71"/>
  <c r="I32" i="71"/>
  <c r="J31" i="71"/>
  <c r="I31" i="71"/>
  <c r="J30" i="71"/>
  <c r="I30" i="71"/>
  <c r="K30" i="71"/>
  <c r="J29" i="71"/>
  <c r="I29" i="71"/>
  <c r="J28" i="71"/>
  <c r="I28" i="71"/>
  <c r="J26" i="71"/>
  <c r="I26" i="71"/>
  <c r="J6" i="71"/>
  <c r="I6" i="71"/>
  <c r="H6" i="71"/>
  <c r="J5" i="71"/>
  <c r="I5" i="71"/>
  <c r="H5" i="71"/>
  <c r="C5" i="71"/>
  <c r="J4" i="71"/>
  <c r="I4" i="71"/>
  <c r="K4" i="71"/>
  <c r="H4" i="71"/>
  <c r="H3" i="71"/>
  <c r="J45" i="70"/>
  <c r="I45" i="70"/>
  <c r="J44" i="70"/>
  <c r="I44" i="70"/>
  <c r="J43" i="70"/>
  <c r="I43" i="70"/>
  <c r="J42" i="70"/>
  <c r="I42" i="70"/>
  <c r="J41" i="70"/>
  <c r="I41" i="70"/>
  <c r="J40" i="70"/>
  <c r="I40" i="70"/>
  <c r="J39" i="70"/>
  <c r="I39" i="70"/>
  <c r="K39" i="70"/>
  <c r="J37" i="70"/>
  <c r="I37" i="70"/>
  <c r="J36" i="70"/>
  <c r="I36" i="70"/>
  <c r="J35" i="70"/>
  <c r="I35" i="70"/>
  <c r="J33" i="70"/>
  <c r="I33" i="70"/>
  <c r="J32" i="70"/>
  <c r="I32" i="70"/>
  <c r="J31" i="70"/>
  <c r="I31" i="70"/>
  <c r="J30" i="70"/>
  <c r="I30" i="70"/>
  <c r="J29" i="70"/>
  <c r="I29" i="70"/>
  <c r="J28" i="70"/>
  <c r="I28" i="70"/>
  <c r="J27" i="70"/>
  <c r="I27" i="70"/>
  <c r="J26" i="70"/>
  <c r="I26" i="70"/>
  <c r="J25" i="70"/>
  <c r="I25" i="70"/>
  <c r="J24" i="70"/>
  <c r="I24" i="70"/>
  <c r="J23" i="70"/>
  <c r="I23" i="70"/>
  <c r="J22" i="70"/>
  <c r="I22" i="70"/>
  <c r="J21" i="70"/>
  <c r="I21" i="70"/>
  <c r="H21" i="70"/>
  <c r="J20" i="70"/>
  <c r="I20" i="70"/>
  <c r="H20" i="70"/>
  <c r="J19" i="70"/>
  <c r="I19" i="70"/>
  <c r="H19" i="70"/>
  <c r="J18" i="70"/>
  <c r="I18" i="70"/>
  <c r="H18" i="70"/>
  <c r="J17" i="70"/>
  <c r="I17" i="70"/>
  <c r="H17" i="70"/>
  <c r="J16" i="70"/>
  <c r="I16" i="70"/>
  <c r="H16" i="70"/>
  <c r="J15" i="70"/>
  <c r="I15" i="70"/>
  <c r="H15" i="70"/>
  <c r="J14" i="70"/>
  <c r="I14" i="70"/>
  <c r="H14" i="70"/>
  <c r="J13" i="70"/>
  <c r="I13" i="70"/>
  <c r="K13" i="70"/>
  <c r="H13" i="70"/>
  <c r="J12" i="70"/>
  <c r="I12" i="70"/>
  <c r="H12" i="70"/>
  <c r="J11" i="70"/>
  <c r="I11" i="70"/>
  <c r="H11" i="70"/>
  <c r="J10" i="70"/>
  <c r="I10" i="70"/>
  <c r="K10" i="70"/>
  <c r="H10" i="70"/>
  <c r="J8" i="70"/>
  <c r="I8" i="70"/>
  <c r="H8" i="70"/>
  <c r="J7" i="70"/>
  <c r="I7" i="70"/>
  <c r="H7" i="70"/>
  <c r="J6" i="70"/>
  <c r="I6" i="70"/>
  <c r="H6" i="70"/>
  <c r="C6" i="70"/>
  <c r="C7" i="70"/>
  <c r="B7" i="70"/>
  <c r="J5" i="70"/>
  <c r="I5" i="70"/>
  <c r="K5" i="70"/>
  <c r="H5" i="70"/>
  <c r="H3" i="70"/>
  <c r="J48" i="69"/>
  <c r="I48" i="69"/>
  <c r="J45" i="69"/>
  <c r="I45" i="69"/>
  <c r="J43" i="69"/>
  <c r="I43" i="69"/>
  <c r="K43" i="69"/>
  <c r="J42" i="69"/>
  <c r="I42" i="69"/>
  <c r="J41" i="69"/>
  <c r="I41" i="69"/>
  <c r="J40" i="69"/>
  <c r="I40" i="69"/>
  <c r="J39" i="69"/>
  <c r="I39" i="69"/>
  <c r="K39" i="69"/>
  <c r="J38" i="69"/>
  <c r="I38" i="69"/>
  <c r="J37" i="69"/>
  <c r="I37" i="69"/>
  <c r="J36" i="69"/>
  <c r="I36" i="69"/>
  <c r="J35" i="69"/>
  <c r="I35" i="69"/>
  <c r="K35" i="69"/>
  <c r="J34" i="69"/>
  <c r="I34" i="69"/>
  <c r="J33" i="69"/>
  <c r="I33" i="69"/>
  <c r="J32" i="69"/>
  <c r="I32" i="69"/>
  <c r="J31" i="69"/>
  <c r="I31" i="69"/>
  <c r="J30" i="69"/>
  <c r="I30" i="69"/>
  <c r="J29" i="69"/>
  <c r="I29" i="69"/>
  <c r="J28" i="69"/>
  <c r="I28" i="69"/>
  <c r="J26" i="69"/>
  <c r="I26" i="69"/>
  <c r="J25" i="69"/>
  <c r="I25" i="69"/>
  <c r="J23" i="69"/>
  <c r="I23" i="69"/>
  <c r="J22" i="69"/>
  <c r="I22" i="69"/>
  <c r="J21" i="69"/>
  <c r="I21" i="69"/>
  <c r="K21" i="69"/>
  <c r="J20" i="69"/>
  <c r="I20" i="69"/>
  <c r="H20" i="69"/>
  <c r="J19" i="69"/>
  <c r="I19" i="69"/>
  <c r="H19" i="69"/>
  <c r="J18" i="69"/>
  <c r="I18" i="69"/>
  <c r="H18" i="69"/>
  <c r="J17" i="69"/>
  <c r="I17" i="69"/>
  <c r="H17" i="69"/>
  <c r="J16" i="69"/>
  <c r="I16" i="69"/>
  <c r="H16" i="69"/>
  <c r="J15" i="69"/>
  <c r="I15" i="69"/>
  <c r="H15" i="69"/>
  <c r="J14" i="69"/>
  <c r="I14" i="69"/>
  <c r="H14" i="69"/>
  <c r="J13" i="69"/>
  <c r="I13" i="69"/>
  <c r="H13" i="69"/>
  <c r="J12" i="69"/>
  <c r="I12" i="69"/>
  <c r="H12" i="69"/>
  <c r="J11" i="69"/>
  <c r="I11" i="69"/>
  <c r="H11" i="69"/>
  <c r="J10" i="69"/>
  <c r="I10" i="69"/>
  <c r="H10" i="69"/>
  <c r="J9" i="69"/>
  <c r="I9" i="69"/>
  <c r="H9" i="69"/>
  <c r="J8" i="69"/>
  <c r="I8" i="69"/>
  <c r="H8" i="69"/>
  <c r="J7" i="69"/>
  <c r="I7" i="69"/>
  <c r="H7" i="69"/>
  <c r="J5" i="69"/>
  <c r="I5" i="69"/>
  <c r="K5" i="69"/>
  <c r="H5" i="69"/>
  <c r="C5" i="69"/>
  <c r="B5" i="69"/>
  <c r="J4" i="69"/>
  <c r="I4" i="69"/>
  <c r="H4" i="69"/>
  <c r="H3" i="69"/>
  <c r="J11" i="68"/>
  <c r="J10" i="68"/>
  <c r="K10" i="68"/>
  <c r="J6" i="68"/>
  <c r="K6" i="68"/>
  <c r="J5" i="68"/>
  <c r="K5" i="68"/>
  <c r="J25" i="2"/>
  <c r="C5" i="68"/>
  <c r="B5" i="68"/>
  <c r="J4" i="68"/>
  <c r="K4" i="68"/>
  <c r="J15" i="67"/>
  <c r="I15" i="67"/>
  <c r="J14" i="67"/>
  <c r="I14" i="67"/>
  <c r="J13" i="67"/>
  <c r="I13" i="67"/>
  <c r="J12" i="67"/>
  <c r="I12" i="67"/>
  <c r="J11" i="67"/>
  <c r="I11" i="67"/>
  <c r="J10" i="67"/>
  <c r="I10" i="67"/>
  <c r="J9" i="67"/>
  <c r="I9" i="67"/>
  <c r="J8" i="67"/>
  <c r="I8" i="67"/>
  <c r="J7" i="67"/>
  <c r="I7" i="67"/>
  <c r="J6" i="67"/>
  <c r="I6" i="67"/>
  <c r="J5" i="67"/>
  <c r="I5" i="67"/>
  <c r="J24" i="2"/>
  <c r="C5" i="67"/>
  <c r="B5" i="67"/>
  <c r="J4" i="67"/>
  <c r="I4" i="67"/>
  <c r="H24" i="2"/>
  <c r="J37" i="66"/>
  <c r="K37" i="66"/>
  <c r="J36" i="66"/>
  <c r="J35" i="66"/>
  <c r="K35" i="66"/>
  <c r="J32" i="66"/>
  <c r="J31" i="66"/>
  <c r="K31" i="66"/>
  <c r="J30" i="66"/>
  <c r="K30" i="66"/>
  <c r="J28" i="66"/>
  <c r="J27" i="66"/>
  <c r="K27" i="66"/>
  <c r="J26" i="66"/>
  <c r="K26" i="66"/>
  <c r="J22" i="66"/>
  <c r="K22" i="66"/>
  <c r="J21" i="66"/>
  <c r="K21" i="66"/>
  <c r="J20" i="66"/>
  <c r="K20" i="66"/>
  <c r="J18" i="66"/>
  <c r="J17" i="66"/>
  <c r="K17" i="66"/>
  <c r="J15" i="66"/>
  <c r="K15" i="66"/>
  <c r="J14" i="66"/>
  <c r="J13" i="66"/>
  <c r="K13" i="66"/>
  <c r="J12" i="66"/>
  <c r="K12" i="66"/>
  <c r="J11" i="66"/>
  <c r="K11" i="66"/>
  <c r="J10" i="66"/>
  <c r="J9" i="66"/>
  <c r="K9" i="66"/>
  <c r="H8" i="66"/>
  <c r="H6" i="66"/>
  <c r="J5" i="66"/>
  <c r="H5" i="66"/>
  <c r="C5" i="66"/>
  <c r="B5" i="66"/>
  <c r="J4" i="66"/>
  <c r="K4" i="66"/>
  <c r="H4" i="66"/>
  <c r="J9" i="65"/>
  <c r="I9" i="65"/>
  <c r="J8" i="65"/>
  <c r="I8" i="65"/>
  <c r="J7" i="65"/>
  <c r="I7" i="65"/>
  <c r="L22" i="2"/>
  <c r="J6" i="65"/>
  <c r="I6" i="65"/>
  <c r="J5" i="65"/>
  <c r="I5" i="65"/>
  <c r="J22" i="2"/>
  <c r="C5" i="65"/>
  <c r="B5" i="65"/>
  <c r="J4" i="65"/>
  <c r="I4" i="65"/>
  <c r="J10" i="64"/>
  <c r="K10" i="64"/>
  <c r="J9" i="64"/>
  <c r="J8" i="64"/>
  <c r="K8" i="64"/>
  <c r="J5" i="64"/>
  <c r="C5" i="64"/>
  <c r="C6" i="64"/>
  <c r="B6" i="64"/>
  <c r="J4" i="64"/>
  <c r="K4" i="64"/>
  <c r="I20" i="2"/>
  <c r="H20" i="2"/>
  <c r="J38" i="63"/>
  <c r="K38" i="63"/>
  <c r="J36" i="63"/>
  <c r="K36" i="63"/>
  <c r="J35" i="63"/>
  <c r="K35" i="63"/>
  <c r="J34" i="63"/>
  <c r="K34" i="63"/>
  <c r="J33" i="63"/>
  <c r="J28" i="63"/>
  <c r="K28" i="63"/>
  <c r="J27" i="63"/>
  <c r="J25" i="63"/>
  <c r="K25" i="63"/>
  <c r="J24" i="63"/>
  <c r="K24" i="63"/>
  <c r="J23" i="63"/>
  <c r="J20" i="63"/>
  <c r="K20" i="63"/>
  <c r="J19" i="63"/>
  <c r="J18" i="63"/>
  <c r="K18" i="63"/>
  <c r="J16" i="63"/>
  <c r="K16" i="63"/>
  <c r="J15" i="63"/>
  <c r="J14" i="63"/>
  <c r="K14" i="63"/>
  <c r="J10" i="63"/>
  <c r="J8" i="63"/>
  <c r="H8" i="63"/>
  <c r="L18" i="2"/>
  <c r="J7" i="63"/>
  <c r="K7" i="63"/>
  <c r="H7" i="63"/>
  <c r="J6" i="63"/>
  <c r="K6" i="63"/>
  <c r="H6" i="63"/>
  <c r="C6" i="63"/>
  <c r="B6" i="63"/>
  <c r="H4" i="63"/>
  <c r="I18" i="2"/>
  <c r="J10" i="62"/>
  <c r="I10" i="62"/>
  <c r="H10" i="62"/>
  <c r="J9" i="62"/>
  <c r="I9" i="62"/>
  <c r="H9" i="62"/>
  <c r="J8" i="62"/>
  <c r="I8" i="62"/>
  <c r="H8" i="62"/>
  <c r="J7" i="62"/>
  <c r="I7" i="62"/>
  <c r="H7" i="62"/>
  <c r="J6" i="62"/>
  <c r="I6" i="62"/>
  <c r="H6" i="62"/>
  <c r="J5" i="62"/>
  <c r="I5" i="62"/>
  <c r="H5" i="62"/>
  <c r="C5" i="62"/>
  <c r="J4" i="62"/>
  <c r="I4" i="62"/>
  <c r="H4" i="62"/>
  <c r="H3" i="62"/>
  <c r="J44" i="61"/>
  <c r="J43" i="61"/>
  <c r="J42" i="61"/>
  <c r="J41" i="61"/>
  <c r="J40" i="61"/>
  <c r="J38" i="61"/>
  <c r="J37" i="61"/>
  <c r="J35" i="61"/>
  <c r="J34" i="61"/>
  <c r="J33" i="61"/>
  <c r="J32" i="61"/>
  <c r="J28" i="61"/>
  <c r="J27" i="61"/>
  <c r="J25" i="61"/>
  <c r="J24" i="61"/>
  <c r="J23" i="61"/>
  <c r="J19" i="61"/>
  <c r="J18" i="61"/>
  <c r="J17" i="61"/>
  <c r="J15" i="61"/>
  <c r="J14" i="61"/>
  <c r="J13" i="61"/>
  <c r="J11" i="61"/>
  <c r="J10" i="61"/>
  <c r="J9" i="61"/>
  <c r="J8" i="61"/>
  <c r="J7" i="61"/>
  <c r="H7" i="61"/>
  <c r="J6" i="61"/>
  <c r="H6" i="61"/>
  <c r="J5" i="61"/>
  <c r="H5" i="61"/>
  <c r="C5" i="61"/>
  <c r="J4" i="61"/>
  <c r="K4" i="61"/>
  <c r="H4" i="61"/>
  <c r="J14" i="60"/>
  <c r="J13" i="60"/>
  <c r="K13" i="60"/>
  <c r="J10" i="60"/>
  <c r="K10" i="60"/>
  <c r="J9" i="60"/>
  <c r="J8" i="60"/>
  <c r="K8" i="60"/>
  <c r="K16" i="2"/>
  <c r="J16" i="2"/>
  <c r="C5" i="60"/>
  <c r="B5" i="60"/>
  <c r="J4" i="60"/>
  <c r="I16" i="2"/>
  <c r="H16" i="2"/>
  <c r="H19" i="59"/>
  <c r="H18" i="59"/>
  <c r="H17" i="59"/>
  <c r="H16" i="59"/>
  <c r="H15" i="59"/>
  <c r="H14" i="59"/>
  <c r="H13" i="59"/>
  <c r="H12" i="59"/>
  <c r="H11" i="59"/>
  <c r="H10" i="59"/>
  <c r="H9" i="59"/>
  <c r="H8" i="59"/>
  <c r="H7" i="59"/>
  <c r="H6" i="59"/>
  <c r="J5" i="59"/>
  <c r="I5" i="59"/>
  <c r="H5" i="59"/>
  <c r="C5" i="59"/>
  <c r="B5" i="59"/>
  <c r="J4" i="59"/>
  <c r="I4" i="59"/>
  <c r="H4" i="59"/>
  <c r="H3" i="59"/>
  <c r="J10" i="58"/>
  <c r="I10" i="58"/>
  <c r="J9" i="58"/>
  <c r="I9" i="58"/>
  <c r="J8" i="58"/>
  <c r="I8" i="58"/>
  <c r="J7" i="58"/>
  <c r="I7" i="58"/>
  <c r="J6" i="58"/>
  <c r="I6" i="58"/>
  <c r="K6" i="58"/>
  <c r="J5" i="58"/>
  <c r="I5" i="58"/>
  <c r="C5" i="58"/>
  <c r="B5" i="58"/>
  <c r="J4" i="58"/>
  <c r="I4" i="58"/>
  <c r="K4" i="58"/>
  <c r="H13" i="2"/>
  <c r="J27" i="56"/>
  <c r="I27" i="56"/>
  <c r="J26" i="56"/>
  <c r="I26" i="56"/>
  <c r="J25" i="56"/>
  <c r="I25" i="56"/>
  <c r="J24" i="56"/>
  <c r="I24" i="56"/>
  <c r="J23" i="56"/>
  <c r="I23" i="56"/>
  <c r="J22" i="56"/>
  <c r="I22" i="56"/>
  <c r="J21" i="56"/>
  <c r="I21" i="56"/>
  <c r="J20" i="56"/>
  <c r="I20" i="56"/>
  <c r="H20" i="56"/>
  <c r="J19" i="56"/>
  <c r="I19" i="56"/>
  <c r="H19" i="56"/>
  <c r="J18" i="56"/>
  <c r="I18" i="56"/>
  <c r="H18" i="56"/>
  <c r="J16" i="56"/>
  <c r="I16" i="56"/>
  <c r="H16" i="56"/>
  <c r="J15" i="56"/>
  <c r="I15" i="56"/>
  <c r="H15" i="56"/>
  <c r="J14" i="56"/>
  <c r="I14" i="56"/>
  <c r="H14" i="56"/>
  <c r="J13" i="56"/>
  <c r="I13" i="56"/>
  <c r="H13" i="56"/>
  <c r="J12" i="56"/>
  <c r="I12" i="56"/>
  <c r="H12" i="56"/>
  <c r="J11" i="56"/>
  <c r="I11" i="56"/>
  <c r="H11" i="56"/>
  <c r="J10" i="56"/>
  <c r="I10" i="56"/>
  <c r="H10" i="56"/>
  <c r="J9" i="56"/>
  <c r="I9" i="56"/>
  <c r="H9" i="56"/>
  <c r="J8" i="56"/>
  <c r="I8" i="56"/>
  <c r="H8" i="56"/>
  <c r="J7" i="56"/>
  <c r="I7" i="56"/>
  <c r="H7" i="56"/>
  <c r="J6" i="56"/>
  <c r="I6" i="56"/>
  <c r="H6" i="56"/>
  <c r="J5" i="56"/>
  <c r="I5" i="56"/>
  <c r="H5" i="56"/>
  <c r="C5" i="56"/>
  <c r="J4" i="56"/>
  <c r="I4" i="56"/>
  <c r="H4" i="56"/>
  <c r="H3" i="56"/>
  <c r="H7" i="26"/>
  <c r="H6" i="26"/>
  <c r="K31" i="2"/>
  <c r="H5" i="26"/>
  <c r="H4" i="26"/>
  <c r="H3" i="26"/>
  <c r="B6" i="70"/>
  <c r="B5" i="64"/>
  <c r="K19" i="70"/>
  <c r="B5" i="61"/>
  <c r="B5" i="73"/>
  <c r="B5" i="71"/>
  <c r="H25" i="2"/>
  <c r="H22" i="2"/>
  <c r="B5" i="62"/>
  <c r="C7" i="63"/>
  <c r="B7" i="63"/>
  <c r="H28" i="2"/>
  <c r="H27" i="2"/>
  <c r="H26" i="2"/>
  <c r="H21" i="2"/>
  <c r="H17" i="2"/>
  <c r="B5" i="56"/>
  <c r="L31" i="2"/>
  <c r="J31" i="2"/>
  <c r="L30" i="2"/>
  <c r="I30" i="2"/>
  <c r="J30" i="2"/>
  <c r="L28" i="2"/>
  <c r="I28" i="2"/>
  <c r="K28" i="2"/>
  <c r="J28" i="2"/>
  <c r="L27" i="2"/>
  <c r="I27" i="2"/>
  <c r="K27" i="2"/>
  <c r="J27" i="2"/>
  <c r="I26" i="2"/>
  <c r="K26" i="2"/>
  <c r="J26" i="2"/>
  <c r="L26" i="2"/>
  <c r="L25" i="2"/>
  <c r="I25" i="2"/>
  <c r="K25" i="2"/>
  <c r="L24" i="2"/>
  <c r="I24" i="2"/>
  <c r="K24" i="2"/>
  <c r="I22" i="2"/>
  <c r="K22" i="2"/>
  <c r="I21" i="2"/>
  <c r="K21" i="2"/>
  <c r="J21" i="2"/>
  <c r="L21" i="2"/>
  <c r="J20" i="2"/>
  <c r="L20" i="2"/>
  <c r="K20" i="2"/>
  <c r="J18" i="2"/>
  <c r="K18" i="2"/>
  <c r="J17" i="2"/>
  <c r="L17" i="2"/>
  <c r="I17" i="2"/>
  <c r="K17" i="2"/>
  <c r="L16" i="2"/>
  <c r="L13" i="2"/>
  <c r="I13" i="2"/>
  <c r="K13" i="2"/>
  <c r="J13" i="2"/>
  <c r="C6" i="74"/>
  <c r="B6" i="74"/>
  <c r="C6" i="73"/>
  <c r="B6" i="73"/>
  <c r="C6" i="71"/>
  <c r="B6" i="71"/>
  <c r="C8" i="70"/>
  <c r="B8" i="70"/>
  <c r="C7" i="69"/>
  <c r="B7" i="69"/>
  <c r="C6" i="68"/>
  <c r="B6" i="68"/>
  <c r="C6" i="67"/>
  <c r="B6" i="67"/>
  <c r="C6" i="66"/>
  <c r="B6" i="66"/>
  <c r="C6" i="65"/>
  <c r="B6" i="65"/>
  <c r="C7" i="64"/>
  <c r="B7" i="64"/>
  <c r="C6" i="62"/>
  <c r="B6" i="62"/>
  <c r="C6" i="61"/>
  <c r="B6" i="61"/>
  <c r="C7" i="60"/>
  <c r="B7" i="60"/>
  <c r="C6" i="58"/>
  <c r="B6" i="58"/>
  <c r="C6" i="56"/>
  <c r="B6" i="56"/>
  <c r="H7" i="25"/>
  <c r="H6" i="25"/>
  <c r="H5" i="25"/>
  <c r="H4" i="25"/>
  <c r="H7" i="28"/>
  <c r="H6" i="28"/>
  <c r="H5" i="28"/>
  <c r="H4" i="28"/>
  <c r="H7" i="27"/>
  <c r="H6" i="27"/>
  <c r="H5" i="27"/>
  <c r="H4" i="27"/>
  <c r="H7" i="30"/>
  <c r="H6" i="30"/>
  <c r="H5" i="30"/>
  <c r="H4" i="30"/>
  <c r="H3" i="30"/>
  <c r="H7" i="24"/>
  <c r="H6" i="24"/>
  <c r="H5" i="24"/>
  <c r="H4" i="24"/>
  <c r="H8" i="31"/>
  <c r="I55" i="6"/>
  <c r="H6" i="31"/>
  <c r="K14" i="2"/>
  <c r="H5" i="31"/>
  <c r="G55" i="6"/>
  <c r="H4" i="31"/>
  <c r="F55" i="6"/>
  <c r="H9" i="29"/>
  <c r="I53" i="6"/>
  <c r="H8" i="29"/>
  <c r="K12" i="2"/>
  <c r="H6" i="29"/>
  <c r="J12" i="2"/>
  <c r="H4" i="29"/>
  <c r="I12" i="2"/>
  <c r="H7" i="23"/>
  <c r="H6" i="23"/>
  <c r="H5" i="23"/>
  <c r="H4" i="23"/>
  <c r="H3" i="23"/>
  <c r="H8" i="22"/>
  <c r="H7" i="22"/>
  <c r="H6" i="22"/>
  <c r="H4" i="22"/>
  <c r="H3" i="22"/>
  <c r="H8" i="32"/>
  <c r="H7" i="32"/>
  <c r="H6" i="32"/>
  <c r="H4" i="32"/>
  <c r="H7" i="5"/>
  <c r="H6" i="5"/>
  <c r="H5" i="5"/>
  <c r="H4" i="5"/>
  <c r="H3" i="5"/>
  <c r="C8" i="63"/>
  <c r="B8" i="63"/>
  <c r="C8" i="60"/>
  <c r="B8" i="60"/>
  <c r="L8" i="2"/>
  <c r="C8" i="71"/>
  <c r="B8" i="71"/>
  <c r="C8" i="64"/>
  <c r="B8" i="64"/>
  <c r="C10" i="63"/>
  <c r="C10" i="70"/>
  <c r="B10" i="70"/>
  <c r="C7" i="61"/>
  <c r="C9" i="60"/>
  <c r="B9" i="60"/>
  <c r="L29" i="2"/>
  <c r="J29" i="2"/>
  <c r="K29" i="2"/>
  <c r="K23" i="2"/>
  <c r="L23" i="2"/>
  <c r="I23" i="2"/>
  <c r="J23" i="2"/>
  <c r="J19" i="2"/>
  <c r="K19" i="2"/>
  <c r="L19" i="2"/>
  <c r="K15" i="2"/>
  <c r="L15" i="2"/>
  <c r="J15" i="2"/>
  <c r="J10" i="2"/>
  <c r="K10" i="2"/>
  <c r="L10" i="2"/>
  <c r="K9" i="2"/>
  <c r="L9" i="2"/>
  <c r="J9" i="2"/>
  <c r="J8" i="2"/>
  <c r="K8" i="2"/>
  <c r="J5" i="2"/>
  <c r="K5" i="2"/>
  <c r="L5" i="2"/>
  <c r="C7" i="74"/>
  <c r="C7" i="73"/>
  <c r="C8" i="69"/>
  <c r="C7" i="68"/>
  <c r="C7" i="67"/>
  <c r="C8" i="66"/>
  <c r="C7" i="65"/>
  <c r="C11" i="63"/>
  <c r="C7" i="62"/>
  <c r="C7" i="58"/>
  <c r="C7" i="56"/>
  <c r="C20" i="26"/>
  <c r="B20" i="26"/>
  <c r="C5" i="26"/>
  <c r="C13" i="25"/>
  <c r="B13" i="25"/>
  <c r="B6" i="25"/>
  <c r="B5" i="25"/>
  <c r="C19" i="28"/>
  <c r="B19" i="28"/>
  <c r="B6" i="28"/>
  <c r="B5" i="28"/>
  <c r="B6" i="27"/>
  <c r="B5" i="27"/>
  <c r="C17" i="30"/>
  <c r="B17" i="30"/>
  <c r="B6" i="30"/>
  <c r="B5" i="30"/>
  <c r="B6" i="24"/>
  <c r="B5" i="24"/>
  <c r="C11" i="24"/>
  <c r="B11" i="24"/>
  <c r="C7" i="31"/>
  <c r="C12" i="31"/>
  <c r="B12" i="31"/>
  <c r="C29" i="31"/>
  <c r="B29" i="31"/>
  <c r="C34" i="31"/>
  <c r="B34" i="31"/>
  <c r="C44" i="31"/>
  <c r="B44" i="31"/>
  <c r="J48" i="31"/>
  <c r="J49" i="31"/>
  <c r="K49" i="31"/>
  <c r="J50" i="31"/>
  <c r="K50" i="31"/>
  <c r="J51" i="31"/>
  <c r="J52" i="31"/>
  <c r="J30" i="31"/>
  <c r="J31" i="31"/>
  <c r="K31" i="31"/>
  <c r="J32" i="31"/>
  <c r="J33" i="31"/>
  <c r="K33" i="31"/>
  <c r="J39" i="31"/>
  <c r="J40" i="31"/>
  <c r="K40" i="31"/>
  <c r="J41" i="31"/>
  <c r="J42" i="31"/>
  <c r="K42" i="31"/>
  <c r="J43" i="31"/>
  <c r="J45" i="31"/>
  <c r="C5" i="31"/>
  <c r="B5" i="31"/>
  <c r="C18" i="29"/>
  <c r="B18" i="29"/>
  <c r="C14" i="29"/>
  <c r="C15" i="29"/>
  <c r="C17" i="29"/>
  <c r="C16" i="29"/>
  <c r="C19" i="29"/>
  <c r="B19" i="29"/>
  <c r="B8" i="29"/>
  <c r="B12" i="29"/>
  <c r="B6" i="29"/>
  <c r="J17" i="29"/>
  <c r="K17" i="29"/>
  <c r="J16" i="29"/>
  <c r="C11" i="29"/>
  <c r="B11" i="29"/>
  <c r="C7" i="29"/>
  <c r="B7" i="29"/>
  <c r="C21" i="23"/>
  <c r="B21" i="23"/>
  <c r="B6" i="23"/>
  <c r="B5" i="23"/>
  <c r="C14" i="22"/>
  <c r="B14" i="22"/>
  <c r="C7" i="22"/>
  <c r="B7" i="22"/>
  <c r="I26" i="22"/>
  <c r="J26" i="22"/>
  <c r="C5" i="22"/>
  <c r="B5" i="22"/>
  <c r="B6" i="22"/>
  <c r="J14" i="32"/>
  <c r="I14" i="32"/>
  <c r="B6" i="32"/>
  <c r="C5" i="32"/>
  <c r="C5" i="5"/>
  <c r="C6" i="5"/>
  <c r="C8" i="73"/>
  <c r="B7" i="32"/>
  <c r="C9" i="71"/>
  <c r="C9" i="64"/>
  <c r="C10" i="64"/>
  <c r="B10" i="63"/>
  <c r="C12" i="63"/>
  <c r="C14" i="63"/>
  <c r="C11" i="70"/>
  <c r="C12" i="70"/>
  <c r="B12" i="70"/>
  <c r="B7" i="61"/>
  <c r="C8" i="61"/>
  <c r="C10" i="60"/>
  <c r="C11" i="60"/>
  <c r="B7" i="74"/>
  <c r="C8" i="74"/>
  <c r="C9" i="73"/>
  <c r="B7" i="73"/>
  <c r="B8" i="69"/>
  <c r="C9" i="69"/>
  <c r="B9" i="69"/>
  <c r="B7" i="68"/>
  <c r="C8" i="68"/>
  <c r="B7" i="67"/>
  <c r="C8" i="67"/>
  <c r="B8" i="67"/>
  <c r="B8" i="66"/>
  <c r="C9" i="66"/>
  <c r="B9" i="66"/>
  <c r="B7" i="65"/>
  <c r="C8" i="65"/>
  <c r="B11" i="63"/>
  <c r="C8" i="62"/>
  <c r="C9" i="62"/>
  <c r="B9" i="62"/>
  <c r="B7" i="62"/>
  <c r="B7" i="58"/>
  <c r="C8" i="58"/>
  <c r="C8" i="56"/>
  <c r="B7" i="56"/>
  <c r="C8" i="22"/>
  <c r="C7" i="5"/>
  <c r="C8" i="5"/>
  <c r="B6" i="5"/>
  <c r="B5" i="5"/>
  <c r="C6" i="31"/>
  <c r="B6" i="31"/>
  <c r="C8" i="31"/>
  <c r="B15" i="29"/>
  <c r="B14" i="29"/>
  <c r="B16" i="29"/>
  <c r="B13" i="29"/>
  <c r="B8" i="32"/>
  <c r="H5" i="2"/>
  <c r="B135" i="6"/>
  <c r="B105" i="6"/>
  <c r="B75" i="6"/>
  <c r="B45" i="6"/>
  <c r="F31" i="2"/>
  <c r="C42" i="6"/>
  <c r="F29" i="2"/>
  <c r="C40" i="6"/>
  <c r="C160" i="6"/>
  <c r="F23" i="2"/>
  <c r="C34" i="6"/>
  <c r="C124" i="6"/>
  <c r="F19" i="2"/>
  <c r="C30" i="6"/>
  <c r="C90" i="6"/>
  <c r="F15" i="2"/>
  <c r="C26" i="6"/>
  <c r="C56" i="6"/>
  <c r="F14" i="2"/>
  <c r="C25" i="6"/>
  <c r="C145" i="6"/>
  <c r="F12" i="2"/>
  <c r="C23" i="6"/>
  <c r="C113" i="6"/>
  <c r="F10" i="2"/>
  <c r="C21" i="6"/>
  <c r="C51" i="6"/>
  <c r="F9" i="2"/>
  <c r="C20" i="6"/>
  <c r="F8" i="2"/>
  <c r="C19" i="6"/>
  <c r="C139" i="6"/>
  <c r="J52" i="32"/>
  <c r="I52" i="32"/>
  <c r="J23" i="32"/>
  <c r="I23" i="32"/>
  <c r="J22" i="32"/>
  <c r="I22" i="32"/>
  <c r="J21" i="32"/>
  <c r="I21" i="32"/>
  <c r="J20" i="32"/>
  <c r="I20" i="32"/>
  <c r="J19" i="32"/>
  <c r="I19" i="32"/>
  <c r="K19" i="32"/>
  <c r="J18" i="32"/>
  <c r="I18" i="32"/>
  <c r="J17" i="32"/>
  <c r="I17" i="32"/>
  <c r="J16" i="32"/>
  <c r="I16" i="32"/>
  <c r="J15" i="32"/>
  <c r="I15" i="32"/>
  <c r="K15" i="32"/>
  <c r="J13" i="32"/>
  <c r="I13" i="32"/>
  <c r="J12" i="32"/>
  <c r="I12" i="32"/>
  <c r="J11" i="32"/>
  <c r="I11" i="32"/>
  <c r="J10" i="32"/>
  <c r="I10" i="32"/>
  <c r="K10" i="32"/>
  <c r="J9" i="32"/>
  <c r="I9" i="32"/>
  <c r="J8" i="32"/>
  <c r="I8" i="32"/>
  <c r="K8" i="32"/>
  <c r="J7" i="32"/>
  <c r="I7" i="32"/>
  <c r="J6" i="32"/>
  <c r="I6" i="32"/>
  <c r="K6" i="32"/>
  <c r="J4" i="32"/>
  <c r="I4" i="32"/>
  <c r="I8" i="2"/>
  <c r="J38" i="31"/>
  <c r="K38" i="31"/>
  <c r="J37" i="31"/>
  <c r="J35" i="31"/>
  <c r="J10" i="31"/>
  <c r="J9" i="31"/>
  <c r="J8" i="31"/>
  <c r="J6" i="31"/>
  <c r="J5" i="31"/>
  <c r="K5" i="31"/>
  <c r="J4" i="31"/>
  <c r="J25" i="30"/>
  <c r="I25" i="30"/>
  <c r="J24" i="30"/>
  <c r="I24" i="30"/>
  <c r="J23" i="30"/>
  <c r="I23" i="30"/>
  <c r="K23" i="30"/>
  <c r="J22" i="30"/>
  <c r="I22" i="30"/>
  <c r="J21" i="30"/>
  <c r="I21" i="30"/>
  <c r="J20" i="30"/>
  <c r="I20" i="30"/>
  <c r="H20" i="30"/>
  <c r="J19" i="30"/>
  <c r="I19" i="30"/>
  <c r="K19" i="30"/>
  <c r="H19" i="30"/>
  <c r="J18" i="30"/>
  <c r="I18" i="30"/>
  <c r="H18" i="30"/>
  <c r="J16" i="30"/>
  <c r="I16" i="30"/>
  <c r="H16" i="30"/>
  <c r="J15" i="30"/>
  <c r="I15" i="30"/>
  <c r="H15" i="30"/>
  <c r="J14" i="30"/>
  <c r="I14" i="30"/>
  <c r="H14" i="30"/>
  <c r="J13" i="30"/>
  <c r="I13" i="30"/>
  <c r="K13" i="30"/>
  <c r="H13" i="30"/>
  <c r="J12" i="30"/>
  <c r="I12" i="30"/>
  <c r="H12" i="30"/>
  <c r="J11" i="30"/>
  <c r="I11" i="30"/>
  <c r="H11" i="30"/>
  <c r="J10" i="30"/>
  <c r="I10" i="30"/>
  <c r="K10" i="30"/>
  <c r="H10" i="30"/>
  <c r="J9" i="30"/>
  <c r="I9" i="30"/>
  <c r="H9" i="30"/>
  <c r="J8" i="30"/>
  <c r="I8" i="30"/>
  <c r="H8" i="30"/>
  <c r="J7" i="30"/>
  <c r="I7" i="30"/>
  <c r="C7" i="30"/>
  <c r="B7" i="30"/>
  <c r="J6" i="30"/>
  <c r="I6" i="30"/>
  <c r="J5" i="30"/>
  <c r="I5" i="30"/>
  <c r="K5" i="30"/>
  <c r="I4" i="30"/>
  <c r="J4" i="30"/>
  <c r="K4" i="30"/>
  <c r="K6" i="30"/>
  <c r="K7" i="30"/>
  <c r="K8" i="30"/>
  <c r="K9" i="30"/>
  <c r="K11" i="30"/>
  <c r="K12" i="30"/>
  <c r="K14" i="30"/>
  <c r="K15" i="30"/>
  <c r="K16" i="30"/>
  <c r="K18" i="30"/>
  <c r="K20" i="30"/>
  <c r="K21" i="30"/>
  <c r="K22" i="30"/>
  <c r="K24" i="30"/>
  <c r="K25" i="30"/>
  <c r="K3" i="30"/>
  <c r="D60" i="6"/>
  <c r="I19" i="2"/>
  <c r="H19" i="2"/>
  <c r="J37" i="29"/>
  <c r="J33" i="29"/>
  <c r="J31" i="29"/>
  <c r="K31" i="29"/>
  <c r="J30" i="29"/>
  <c r="K30" i="29"/>
  <c r="J29" i="29"/>
  <c r="J28" i="29"/>
  <c r="J26" i="29"/>
  <c r="K26" i="29"/>
  <c r="J25" i="29"/>
  <c r="J24" i="29"/>
  <c r="K24" i="29"/>
  <c r="J23" i="29"/>
  <c r="K23" i="29"/>
  <c r="J22" i="29"/>
  <c r="K22" i="29"/>
  <c r="J20" i="29"/>
  <c r="K20" i="29"/>
  <c r="J19" i="29"/>
  <c r="K19" i="29"/>
  <c r="J15" i="29"/>
  <c r="J14" i="29"/>
  <c r="K14" i="29"/>
  <c r="J13" i="29"/>
  <c r="K13" i="29"/>
  <c r="J12" i="29"/>
  <c r="J10" i="29"/>
  <c r="K10" i="29"/>
  <c r="J9" i="29"/>
  <c r="K9" i="29"/>
  <c r="C9" i="29"/>
  <c r="C10" i="29"/>
  <c r="B10" i="29"/>
  <c r="J6" i="29"/>
  <c r="J4" i="29"/>
  <c r="J23" i="28"/>
  <c r="I23" i="28"/>
  <c r="J20" i="28"/>
  <c r="K20" i="28"/>
  <c r="J18" i="28"/>
  <c r="J17" i="28"/>
  <c r="J16" i="28"/>
  <c r="J15" i="28"/>
  <c r="K15" i="28"/>
  <c r="J14" i="28"/>
  <c r="J13" i="28"/>
  <c r="J12" i="28"/>
  <c r="K12" i="28"/>
  <c r="J11" i="28"/>
  <c r="K11" i="28"/>
  <c r="J10" i="28"/>
  <c r="J9" i="28"/>
  <c r="J8" i="28"/>
  <c r="K8" i="28"/>
  <c r="J7" i="28"/>
  <c r="K7" i="28"/>
  <c r="C7" i="28"/>
  <c r="B7" i="28"/>
  <c r="J6" i="28"/>
  <c r="J5" i="28"/>
  <c r="J21" i="27"/>
  <c r="K21" i="27"/>
  <c r="J20" i="27"/>
  <c r="J19" i="27"/>
  <c r="J16" i="27"/>
  <c r="J15" i="27"/>
  <c r="J14" i="27"/>
  <c r="K14" i="27"/>
  <c r="J13" i="27"/>
  <c r="K13" i="27"/>
  <c r="J11" i="27"/>
  <c r="J9" i="27"/>
  <c r="K9" i="27"/>
  <c r="J8" i="27"/>
  <c r="J7" i="27"/>
  <c r="C7" i="27"/>
  <c r="B7" i="27"/>
  <c r="J5" i="27"/>
  <c r="K5" i="27"/>
  <c r="J4" i="27"/>
  <c r="H23" i="2"/>
  <c r="J43" i="26"/>
  <c r="I43" i="26"/>
  <c r="J42" i="26"/>
  <c r="I42" i="26"/>
  <c r="K42" i="26"/>
  <c r="J41" i="26"/>
  <c r="I41" i="26"/>
  <c r="J40" i="26"/>
  <c r="I40" i="26"/>
  <c r="J39" i="26"/>
  <c r="I39" i="26"/>
  <c r="J38" i="26"/>
  <c r="I38" i="26"/>
  <c r="K38" i="26"/>
  <c r="J37" i="26"/>
  <c r="I37" i="26"/>
  <c r="J36" i="26"/>
  <c r="I36" i="26"/>
  <c r="J35" i="26"/>
  <c r="I35" i="26"/>
  <c r="J34" i="26"/>
  <c r="I34" i="26"/>
  <c r="K34" i="26"/>
  <c r="J33" i="26"/>
  <c r="I33" i="26"/>
  <c r="J32" i="26"/>
  <c r="I32" i="26"/>
  <c r="J31" i="26"/>
  <c r="I31" i="26"/>
  <c r="J30" i="26"/>
  <c r="I30" i="26"/>
  <c r="J29" i="26"/>
  <c r="I29" i="26"/>
  <c r="J28" i="26"/>
  <c r="I28" i="26"/>
  <c r="J27" i="26"/>
  <c r="I27" i="26"/>
  <c r="J26" i="26"/>
  <c r="I26" i="26"/>
  <c r="K26" i="26"/>
  <c r="J25" i="26"/>
  <c r="I25" i="26"/>
  <c r="J24" i="26"/>
  <c r="I24" i="26"/>
  <c r="J23" i="26"/>
  <c r="I23" i="26"/>
  <c r="J22" i="26"/>
  <c r="I22" i="26"/>
  <c r="K22" i="26"/>
  <c r="J21" i="26"/>
  <c r="I21" i="26"/>
  <c r="H19" i="26"/>
  <c r="J19" i="26"/>
  <c r="I19" i="26"/>
  <c r="H18" i="26"/>
  <c r="J18" i="26"/>
  <c r="I18" i="26"/>
  <c r="K18" i="26"/>
  <c r="H17" i="26"/>
  <c r="J16" i="26"/>
  <c r="I16" i="26"/>
  <c r="H16" i="26"/>
  <c r="J15" i="26"/>
  <c r="I15" i="26"/>
  <c r="H15" i="26"/>
  <c r="J14" i="26"/>
  <c r="I14" i="26"/>
  <c r="K14" i="26"/>
  <c r="H14" i="26"/>
  <c r="J13" i="26"/>
  <c r="I13" i="26"/>
  <c r="H13" i="26"/>
  <c r="J12" i="26"/>
  <c r="I12" i="26"/>
  <c r="K12" i="26"/>
  <c r="H12" i="26"/>
  <c r="J11" i="26"/>
  <c r="I11" i="26"/>
  <c r="H11" i="26"/>
  <c r="J10" i="26"/>
  <c r="I10" i="26"/>
  <c r="H10" i="26"/>
  <c r="J9" i="26"/>
  <c r="I9" i="26"/>
  <c r="K9" i="26"/>
  <c r="H9" i="26"/>
  <c r="J8" i="26"/>
  <c r="I8" i="26"/>
  <c r="H8" i="26"/>
  <c r="J7" i="26"/>
  <c r="I7" i="26"/>
  <c r="J6" i="26"/>
  <c r="I6" i="26"/>
  <c r="K6" i="26"/>
  <c r="J5" i="26"/>
  <c r="I5" i="26"/>
  <c r="J4" i="26"/>
  <c r="I4" i="26"/>
  <c r="I31" i="2"/>
  <c r="H31" i="2"/>
  <c r="J52" i="25"/>
  <c r="J51" i="25"/>
  <c r="J49" i="25"/>
  <c r="J48" i="25"/>
  <c r="J46" i="25"/>
  <c r="K46" i="25"/>
  <c r="J45" i="25"/>
  <c r="J44" i="25"/>
  <c r="J43" i="25"/>
  <c r="J42" i="25"/>
  <c r="K42" i="25"/>
  <c r="J41" i="25"/>
  <c r="J40" i="25"/>
  <c r="J38" i="25"/>
  <c r="K38" i="25"/>
  <c r="J37" i="25"/>
  <c r="J36" i="25"/>
  <c r="J35" i="25"/>
  <c r="J33" i="25"/>
  <c r="J32" i="25"/>
  <c r="J30" i="25"/>
  <c r="K30" i="25"/>
  <c r="J29" i="25"/>
  <c r="J28" i="25"/>
  <c r="J27" i="25"/>
  <c r="J26" i="25"/>
  <c r="K26" i="25"/>
  <c r="J25" i="25"/>
  <c r="J24" i="25"/>
  <c r="J22" i="25"/>
  <c r="K22" i="25"/>
  <c r="J21" i="25"/>
  <c r="J20" i="25"/>
  <c r="J19" i="25"/>
  <c r="J17" i="25"/>
  <c r="J16" i="25"/>
  <c r="J14" i="25"/>
  <c r="K14" i="25"/>
  <c r="J12" i="25"/>
  <c r="J11" i="25"/>
  <c r="J10" i="25"/>
  <c r="J9" i="25"/>
  <c r="K9" i="25"/>
  <c r="J8" i="25"/>
  <c r="J7" i="25"/>
  <c r="C7" i="25"/>
  <c r="B7" i="25"/>
  <c r="J6" i="25"/>
  <c r="K6" i="25"/>
  <c r="J5" i="25"/>
  <c r="K5" i="25"/>
  <c r="J4" i="25"/>
  <c r="I29" i="2"/>
  <c r="J21" i="24"/>
  <c r="J20" i="24"/>
  <c r="K20" i="24"/>
  <c r="J19" i="24"/>
  <c r="K19" i="24"/>
  <c r="J18" i="24"/>
  <c r="K18" i="24"/>
  <c r="H18" i="24"/>
  <c r="J17" i="24"/>
  <c r="J16" i="24"/>
  <c r="K16" i="24"/>
  <c r="J15" i="24"/>
  <c r="K15" i="24"/>
  <c r="J14" i="24"/>
  <c r="K14" i="24"/>
  <c r="J13" i="24"/>
  <c r="J10" i="24"/>
  <c r="J9" i="24"/>
  <c r="K9" i="24"/>
  <c r="J8" i="24"/>
  <c r="C7" i="24"/>
  <c r="B7" i="24"/>
  <c r="J6" i="24"/>
  <c r="K6" i="24"/>
  <c r="J5" i="24"/>
  <c r="K5" i="24"/>
  <c r="J4" i="24"/>
  <c r="I15" i="2"/>
  <c r="H15" i="2"/>
  <c r="J32" i="23"/>
  <c r="I32" i="23"/>
  <c r="J31" i="23"/>
  <c r="I31" i="23"/>
  <c r="J30" i="23"/>
  <c r="I30" i="23"/>
  <c r="K30" i="23"/>
  <c r="J29" i="23"/>
  <c r="I29" i="23"/>
  <c r="J28" i="23"/>
  <c r="I28" i="23"/>
  <c r="J27" i="23"/>
  <c r="I27" i="23"/>
  <c r="J26" i="23"/>
  <c r="I26" i="23"/>
  <c r="K26" i="23"/>
  <c r="J25" i="23"/>
  <c r="I25" i="23"/>
  <c r="J24" i="23"/>
  <c r="I24" i="23"/>
  <c r="J23" i="23"/>
  <c r="I23" i="23"/>
  <c r="J22" i="23"/>
  <c r="I22" i="23"/>
  <c r="K22" i="23"/>
  <c r="J20" i="23"/>
  <c r="I20" i="23"/>
  <c r="K20" i="23"/>
  <c r="J19" i="23"/>
  <c r="I19" i="23"/>
  <c r="H19" i="23"/>
  <c r="J18" i="23"/>
  <c r="I18" i="23"/>
  <c r="H18" i="23"/>
  <c r="J17" i="23"/>
  <c r="I17" i="23"/>
  <c r="K17" i="23"/>
  <c r="H17" i="23"/>
  <c r="J16" i="23"/>
  <c r="I16" i="23"/>
  <c r="H16" i="23"/>
  <c r="J15" i="23"/>
  <c r="I15" i="23"/>
  <c r="K15" i="23"/>
  <c r="H15" i="23"/>
  <c r="J14" i="23"/>
  <c r="I14" i="23"/>
  <c r="H14" i="23"/>
  <c r="J13" i="23"/>
  <c r="I13" i="23"/>
  <c r="H13" i="23"/>
  <c r="J12" i="23"/>
  <c r="I12" i="23"/>
  <c r="K12" i="23"/>
  <c r="H12" i="23"/>
  <c r="J11" i="23"/>
  <c r="I11" i="23"/>
  <c r="H11" i="23"/>
  <c r="J10" i="23"/>
  <c r="I10" i="23"/>
  <c r="H10" i="23"/>
  <c r="J9" i="23"/>
  <c r="I9" i="23"/>
  <c r="H9" i="23"/>
  <c r="J8" i="23"/>
  <c r="I8" i="23"/>
  <c r="H8" i="23"/>
  <c r="J7" i="23"/>
  <c r="I7" i="23"/>
  <c r="K7" i="23"/>
  <c r="C7" i="23"/>
  <c r="J6" i="23"/>
  <c r="I6" i="23"/>
  <c r="K6" i="23"/>
  <c r="J5" i="23"/>
  <c r="I5" i="23"/>
  <c r="K5" i="23"/>
  <c r="J4" i="23"/>
  <c r="I4" i="23"/>
  <c r="I10" i="2"/>
  <c r="H10" i="2"/>
  <c r="J52" i="22"/>
  <c r="I52" i="22"/>
  <c r="J51" i="22"/>
  <c r="I51" i="22"/>
  <c r="J50" i="22"/>
  <c r="I50" i="22"/>
  <c r="J49" i="22"/>
  <c r="I49" i="22"/>
  <c r="K49" i="22"/>
  <c r="J48" i="22"/>
  <c r="I48" i="22"/>
  <c r="J47" i="22"/>
  <c r="I47" i="22"/>
  <c r="J46" i="22"/>
  <c r="I46" i="22"/>
  <c r="K46" i="22"/>
  <c r="J45" i="22"/>
  <c r="I45" i="22"/>
  <c r="K45" i="22"/>
  <c r="J44" i="22"/>
  <c r="I44" i="22"/>
  <c r="J43" i="22"/>
  <c r="I43" i="22"/>
  <c r="J42" i="22"/>
  <c r="I42" i="22"/>
  <c r="J41" i="22"/>
  <c r="I41" i="22"/>
  <c r="K41" i="22"/>
  <c r="J40" i="22"/>
  <c r="I40" i="22"/>
  <c r="J39" i="22"/>
  <c r="I39" i="22"/>
  <c r="K39" i="22"/>
  <c r="J38" i="22"/>
  <c r="I38" i="22"/>
  <c r="J37" i="22"/>
  <c r="I37" i="22"/>
  <c r="K37" i="22"/>
  <c r="J36" i="22"/>
  <c r="I36" i="22"/>
  <c r="K36" i="22"/>
  <c r="J35" i="22"/>
  <c r="I35" i="22"/>
  <c r="J34" i="22"/>
  <c r="I34" i="22"/>
  <c r="J33" i="22"/>
  <c r="I33" i="22"/>
  <c r="K33" i="22"/>
  <c r="J32" i="22"/>
  <c r="I32" i="22"/>
  <c r="J31" i="22"/>
  <c r="I31" i="22"/>
  <c r="J30" i="22"/>
  <c r="I30" i="22"/>
  <c r="J29" i="22"/>
  <c r="I29" i="22"/>
  <c r="K29" i="22"/>
  <c r="J28" i="22"/>
  <c r="I28" i="22"/>
  <c r="K28" i="22"/>
  <c r="J27" i="22"/>
  <c r="I27" i="22"/>
  <c r="J24" i="22"/>
  <c r="I24" i="22"/>
  <c r="J23" i="22"/>
  <c r="I23" i="22"/>
  <c r="K23" i="22"/>
  <c r="J22" i="22"/>
  <c r="I22" i="22"/>
  <c r="J21" i="22"/>
  <c r="I21" i="22"/>
  <c r="K21" i="22"/>
  <c r="H21" i="22"/>
  <c r="J20" i="22"/>
  <c r="I20" i="22"/>
  <c r="H20" i="22"/>
  <c r="J19" i="22"/>
  <c r="I19" i="22"/>
  <c r="K19" i="22"/>
  <c r="H19" i="22"/>
  <c r="J18" i="22"/>
  <c r="I18" i="22"/>
  <c r="H18" i="22"/>
  <c r="J17" i="22"/>
  <c r="I17" i="22"/>
  <c r="K17" i="22"/>
  <c r="H17" i="22"/>
  <c r="J16" i="22"/>
  <c r="I16" i="22"/>
  <c r="H16" i="22"/>
  <c r="J15" i="22"/>
  <c r="I15" i="22"/>
  <c r="H15" i="22"/>
  <c r="J13" i="22"/>
  <c r="I13" i="22"/>
  <c r="H13" i="22"/>
  <c r="J12" i="22"/>
  <c r="I12" i="22"/>
  <c r="K12" i="22"/>
  <c r="H12" i="22"/>
  <c r="J11" i="22"/>
  <c r="I11" i="22"/>
  <c r="K11" i="22"/>
  <c r="H11" i="22"/>
  <c r="J10" i="22"/>
  <c r="I10" i="22"/>
  <c r="K10" i="22"/>
  <c r="H10" i="22"/>
  <c r="J9" i="22"/>
  <c r="I9" i="22"/>
  <c r="H9" i="22"/>
  <c r="J8" i="22"/>
  <c r="I8" i="22"/>
  <c r="K8" i="22"/>
  <c r="J7" i="22"/>
  <c r="I7" i="22"/>
  <c r="K7" i="22"/>
  <c r="J6" i="22"/>
  <c r="I6" i="22"/>
  <c r="J4" i="22"/>
  <c r="I4" i="22"/>
  <c r="I9" i="2"/>
  <c r="H9" i="2"/>
  <c r="H19" i="5"/>
  <c r="H18" i="5"/>
  <c r="H17" i="5"/>
  <c r="H16" i="5"/>
  <c r="H15" i="5"/>
  <c r="H14" i="5"/>
  <c r="H13" i="5"/>
  <c r="D106" i="6"/>
  <c r="H12" i="5"/>
  <c r="H11" i="5"/>
  <c r="H10" i="5"/>
  <c r="H9" i="5"/>
  <c r="D76" i="6"/>
  <c r="H8" i="5"/>
  <c r="I5" i="2"/>
  <c r="J5" i="5"/>
  <c r="J4" i="5"/>
  <c r="I5" i="5"/>
  <c r="I4" i="5"/>
  <c r="B7" i="5"/>
  <c r="C9" i="67"/>
  <c r="B9" i="67"/>
  <c r="B8" i="73"/>
  <c r="C10" i="71"/>
  <c r="B9" i="71"/>
  <c r="C10" i="67"/>
  <c r="B10" i="67"/>
  <c r="B9" i="64"/>
  <c r="B12" i="63"/>
  <c r="C15" i="63"/>
  <c r="B15" i="63"/>
  <c r="B11" i="70"/>
  <c r="C13" i="70"/>
  <c r="C10" i="62"/>
  <c r="B8" i="61"/>
  <c r="C9" i="61"/>
  <c r="B10" i="60"/>
  <c r="C13" i="60"/>
  <c r="B13" i="60"/>
  <c r="C9" i="56"/>
  <c r="B9" i="56"/>
  <c r="C9" i="74"/>
  <c r="B8" i="74"/>
  <c r="B9" i="73"/>
  <c r="C10" i="73"/>
  <c r="C10" i="69"/>
  <c r="B8" i="68"/>
  <c r="C9" i="68"/>
  <c r="C10" i="66"/>
  <c r="C9" i="65"/>
  <c r="B8" i="65"/>
  <c r="B10" i="64"/>
  <c r="B14" i="63"/>
  <c r="B8" i="62"/>
  <c r="B11" i="60"/>
  <c r="B8" i="58"/>
  <c r="C9" i="58"/>
  <c r="B8" i="56"/>
  <c r="C9" i="22"/>
  <c r="B9" i="22"/>
  <c r="C9" i="5"/>
  <c r="C10" i="5"/>
  <c r="C8" i="27"/>
  <c r="B8" i="27"/>
  <c r="C8" i="23"/>
  <c r="B7" i="23"/>
  <c r="B8" i="22"/>
  <c r="C8" i="30"/>
  <c r="B8" i="30"/>
  <c r="C8" i="28"/>
  <c r="B8" i="28"/>
  <c r="C8" i="25"/>
  <c r="B8" i="25"/>
  <c r="C8" i="24"/>
  <c r="B8" i="24"/>
  <c r="C11" i="67"/>
  <c r="C11" i="73"/>
  <c r="B11" i="73"/>
  <c r="B9" i="32"/>
  <c r="B10" i="71"/>
  <c r="C11" i="71"/>
  <c r="B10" i="62"/>
  <c r="C16" i="63"/>
  <c r="C14" i="70"/>
  <c r="C15" i="70"/>
  <c r="B13" i="70"/>
  <c r="B9" i="61"/>
  <c r="C10" i="61"/>
  <c r="C14" i="60"/>
  <c r="B14" i="60"/>
  <c r="C10" i="56"/>
  <c r="B9" i="74"/>
  <c r="C10" i="74"/>
  <c r="B10" i="73"/>
  <c r="B10" i="69"/>
  <c r="C11" i="69"/>
  <c r="B9" i="68"/>
  <c r="C10" i="68"/>
  <c r="C12" i="67"/>
  <c r="C13" i="67"/>
  <c r="B13" i="67"/>
  <c r="B11" i="67"/>
  <c r="B10" i="66"/>
  <c r="C11" i="66"/>
  <c r="B9" i="65"/>
  <c r="B9" i="58"/>
  <c r="C10" i="58"/>
  <c r="C10" i="22"/>
  <c r="B10" i="22"/>
  <c r="C11" i="5"/>
  <c r="C12" i="5"/>
  <c r="C9" i="25"/>
  <c r="B9" i="25"/>
  <c r="C9" i="27"/>
  <c r="C9" i="23"/>
  <c r="B8" i="23"/>
  <c r="C9" i="30"/>
  <c r="B9" i="30"/>
  <c r="C9" i="28"/>
  <c r="B9" i="28"/>
  <c r="C9" i="24"/>
  <c r="F5" i="2"/>
  <c r="C16" i="6"/>
  <c r="C46" i="6"/>
  <c r="C12" i="73"/>
  <c r="B12" i="73"/>
  <c r="C10" i="28"/>
  <c r="B10" i="28"/>
  <c r="C11" i="61"/>
  <c r="C12" i="61"/>
  <c r="C13" i="73"/>
  <c r="B10" i="32"/>
  <c r="B11" i="71"/>
  <c r="C12" i="71"/>
  <c r="C13" i="71"/>
  <c r="C17" i="63"/>
  <c r="B17" i="63"/>
  <c r="B16" i="63"/>
  <c r="B15" i="70"/>
  <c r="C16" i="70"/>
  <c r="B16" i="70"/>
  <c r="B14" i="70"/>
  <c r="B10" i="61"/>
  <c r="C15" i="60"/>
  <c r="B15" i="60"/>
  <c r="C16" i="60"/>
  <c r="B16" i="60"/>
  <c r="B10" i="56"/>
  <c r="C11" i="56"/>
  <c r="C12" i="74"/>
  <c r="C13" i="74"/>
  <c r="B13" i="74"/>
  <c r="B10" i="74"/>
  <c r="C12" i="69"/>
  <c r="B11" i="69"/>
  <c r="B10" i="68"/>
  <c r="C11" i="68"/>
  <c r="C12" i="68"/>
  <c r="B12" i="68"/>
  <c r="B12" i="67"/>
  <c r="C14" i="67"/>
  <c r="B11" i="66"/>
  <c r="C12" i="66"/>
  <c r="B10" i="58"/>
  <c r="C11" i="22"/>
  <c r="C13" i="5"/>
  <c r="C14" i="5"/>
  <c r="C10" i="25"/>
  <c r="B10" i="25"/>
  <c r="B9" i="27"/>
  <c r="C10" i="27"/>
  <c r="C10" i="24"/>
  <c r="B10" i="24"/>
  <c r="B9" i="24"/>
  <c r="B9" i="23"/>
  <c r="C10" i="23"/>
  <c r="C10" i="30"/>
  <c r="B10" i="30"/>
  <c r="C11" i="28"/>
  <c r="B11" i="61"/>
  <c r="B11" i="32"/>
  <c r="C14" i="73"/>
  <c r="C15" i="73"/>
  <c r="B15" i="73"/>
  <c r="B13" i="73"/>
  <c r="B13" i="71"/>
  <c r="C14" i="71"/>
  <c r="B14" i="71"/>
  <c r="B12" i="71"/>
  <c r="C15" i="71"/>
  <c r="C17" i="70"/>
  <c r="B17" i="70"/>
  <c r="C18" i="63"/>
  <c r="C19" i="63"/>
  <c r="B19" i="63"/>
  <c r="B12" i="69"/>
  <c r="C13" i="69"/>
  <c r="B13" i="69"/>
  <c r="C13" i="61"/>
  <c r="B13" i="61"/>
  <c r="B12" i="61"/>
  <c r="B11" i="56"/>
  <c r="C12" i="56"/>
  <c r="B12" i="74"/>
  <c r="B11" i="68"/>
  <c r="B14" i="67"/>
  <c r="C15" i="67"/>
  <c r="B15" i="67"/>
  <c r="B12" i="66"/>
  <c r="C13" i="66"/>
  <c r="C11" i="30"/>
  <c r="B11" i="30"/>
  <c r="C12" i="22"/>
  <c r="B11" i="22"/>
  <c r="C15" i="5"/>
  <c r="C16" i="5"/>
  <c r="C17" i="5"/>
  <c r="C11" i="25"/>
  <c r="B10" i="27"/>
  <c r="C11" i="27"/>
  <c r="C12" i="24"/>
  <c r="B12" i="24"/>
  <c r="B10" i="23"/>
  <c r="C11" i="23"/>
  <c r="J7" i="5"/>
  <c r="J8" i="5"/>
  <c r="J9" i="5"/>
  <c r="J10" i="5"/>
  <c r="J11" i="5"/>
  <c r="J6" i="5"/>
  <c r="I7" i="5"/>
  <c r="I8" i="5"/>
  <c r="I9" i="5"/>
  <c r="I10" i="5"/>
  <c r="I11" i="5"/>
  <c r="I6" i="5"/>
  <c r="J42" i="5"/>
  <c r="I42" i="5"/>
  <c r="K42" i="5"/>
  <c r="J41" i="5"/>
  <c r="I41" i="5"/>
  <c r="J40" i="5"/>
  <c r="I40" i="5"/>
  <c r="J39" i="5"/>
  <c r="I39" i="5"/>
  <c r="J38" i="5"/>
  <c r="I38" i="5"/>
  <c r="K38" i="5"/>
  <c r="J37" i="5"/>
  <c r="I37" i="5"/>
  <c r="J36" i="5"/>
  <c r="I36" i="5"/>
  <c r="J35" i="5"/>
  <c r="I35" i="5"/>
  <c r="J34" i="5"/>
  <c r="I34" i="5"/>
  <c r="K34" i="5"/>
  <c r="J33" i="5"/>
  <c r="I33" i="5"/>
  <c r="J32" i="5"/>
  <c r="I32" i="5"/>
  <c r="J31" i="5"/>
  <c r="I31" i="5"/>
  <c r="J30" i="5"/>
  <c r="I30" i="5"/>
  <c r="K30" i="5"/>
  <c r="J29" i="5"/>
  <c r="I29" i="5"/>
  <c r="J28" i="5"/>
  <c r="I28" i="5"/>
  <c r="J27" i="5"/>
  <c r="I27" i="5"/>
  <c r="J26" i="5"/>
  <c r="I26" i="5"/>
  <c r="K26" i="5"/>
  <c r="J25" i="5"/>
  <c r="I25" i="5"/>
  <c r="J24" i="5"/>
  <c r="I24" i="5"/>
  <c r="J23" i="5"/>
  <c r="I23" i="5"/>
  <c r="J22" i="5"/>
  <c r="I22" i="5"/>
  <c r="K22" i="5"/>
  <c r="J21" i="5"/>
  <c r="I21" i="5"/>
  <c r="J20" i="5"/>
  <c r="I20" i="5"/>
  <c r="J19" i="5"/>
  <c r="I19" i="5"/>
  <c r="J18" i="5"/>
  <c r="I18" i="5"/>
  <c r="J17" i="5"/>
  <c r="I17" i="5"/>
  <c r="J16" i="5"/>
  <c r="I16" i="5"/>
  <c r="K16" i="5"/>
  <c r="J15" i="5"/>
  <c r="I15" i="5"/>
  <c r="J14" i="5"/>
  <c r="I14" i="5"/>
  <c r="J13" i="5"/>
  <c r="I13" i="5"/>
  <c r="J12" i="5"/>
  <c r="I12" i="5"/>
  <c r="C16" i="73"/>
  <c r="B16" i="73"/>
  <c r="C18" i="70"/>
  <c r="B14" i="73"/>
  <c r="B11" i="28"/>
  <c r="C12" i="28"/>
  <c r="C17" i="73"/>
  <c r="B17" i="73"/>
  <c r="B15" i="71"/>
  <c r="C16" i="71"/>
  <c r="C20" i="63"/>
  <c r="B20" i="63"/>
  <c r="B18" i="63"/>
  <c r="B18" i="70"/>
  <c r="C19" i="70"/>
  <c r="B19" i="70"/>
  <c r="C14" i="69"/>
  <c r="B14" i="69"/>
  <c r="C14" i="61"/>
  <c r="B12" i="56"/>
  <c r="C13" i="56"/>
  <c r="B13" i="66"/>
  <c r="C14" i="66"/>
  <c r="C15" i="66"/>
  <c r="C12" i="30"/>
  <c r="B12" i="30"/>
  <c r="C13" i="22"/>
  <c r="B13" i="22"/>
  <c r="B12" i="22"/>
  <c r="B11" i="25"/>
  <c r="C12" i="25"/>
  <c r="B11" i="27"/>
  <c r="C12" i="27"/>
  <c r="C13" i="24"/>
  <c r="B13" i="24"/>
  <c r="B11" i="23"/>
  <c r="C12" i="23"/>
  <c r="B12" i="23"/>
  <c r="B12" i="32"/>
  <c r="C18" i="5"/>
  <c r="C18" i="73"/>
  <c r="B18" i="73"/>
  <c r="C13" i="30"/>
  <c r="B13" i="30"/>
  <c r="B14" i="61"/>
  <c r="B13" i="32"/>
  <c r="B12" i="28"/>
  <c r="C13" i="28"/>
  <c r="C15" i="61"/>
  <c r="B15" i="61"/>
  <c r="B14" i="32"/>
  <c r="C19" i="73"/>
  <c r="B19" i="73"/>
  <c r="B16" i="71"/>
  <c r="C17" i="71"/>
  <c r="C20" i="70"/>
  <c r="B20" i="70"/>
  <c r="C21" i="63"/>
  <c r="B21" i="63"/>
  <c r="C15" i="69"/>
  <c r="C16" i="69"/>
  <c r="B13" i="56"/>
  <c r="C14" i="56"/>
  <c r="B14" i="66"/>
  <c r="B15" i="66"/>
  <c r="C16" i="66"/>
  <c r="C14" i="24"/>
  <c r="B14" i="24"/>
  <c r="C15" i="22"/>
  <c r="B12" i="25"/>
  <c r="C14" i="25"/>
  <c r="B14" i="25"/>
  <c r="B12" i="27"/>
  <c r="C13" i="27"/>
  <c r="B13" i="27"/>
  <c r="C13" i="23"/>
  <c r="B13" i="23"/>
  <c r="C19" i="5"/>
  <c r="C20" i="5"/>
  <c r="C21" i="5"/>
  <c r="C22" i="5"/>
  <c r="C23" i="5"/>
  <c r="C24" i="5"/>
  <c r="C25" i="5"/>
  <c r="C26" i="5"/>
  <c r="C27" i="5"/>
  <c r="C28" i="5"/>
  <c r="C29" i="5"/>
  <c r="C30" i="5"/>
  <c r="C31" i="5"/>
  <c r="C32" i="5"/>
  <c r="C33" i="5"/>
  <c r="C34" i="5"/>
  <c r="C35" i="5"/>
  <c r="C14" i="30"/>
  <c r="B14" i="30"/>
  <c r="C16" i="61"/>
  <c r="B16" i="61"/>
  <c r="C21" i="70"/>
  <c r="B21" i="70"/>
  <c r="B13" i="28"/>
  <c r="C14" i="28"/>
  <c r="C20" i="73"/>
  <c r="C21" i="73"/>
  <c r="B15" i="32"/>
  <c r="B17" i="71"/>
  <c r="C18" i="71"/>
  <c r="C22" i="70"/>
  <c r="B22" i="70"/>
  <c r="C22" i="63"/>
  <c r="B22" i="63"/>
  <c r="B15" i="69"/>
  <c r="B14" i="56"/>
  <c r="C15" i="56"/>
  <c r="B16" i="69"/>
  <c r="C17" i="69"/>
  <c r="B16" i="66"/>
  <c r="C17" i="66"/>
  <c r="C15" i="30"/>
  <c r="B15" i="30"/>
  <c r="C15" i="24"/>
  <c r="B15" i="24"/>
  <c r="C14" i="23"/>
  <c r="C15" i="23"/>
  <c r="C16" i="22"/>
  <c r="C17" i="22"/>
  <c r="B15" i="22"/>
  <c r="C15" i="25"/>
  <c r="C14" i="27"/>
  <c r="B14" i="27"/>
  <c r="C16" i="24"/>
  <c r="C25" i="22"/>
  <c r="B25" i="22"/>
  <c r="B35" i="5"/>
  <c r="C36" i="5"/>
  <c r="C37" i="5"/>
  <c r="C38" i="5"/>
  <c r="C39" i="5"/>
  <c r="C40" i="5"/>
  <c r="C41" i="5"/>
  <c r="C42" i="5"/>
  <c r="B14" i="23"/>
  <c r="C17" i="61"/>
  <c r="B17" i="61"/>
  <c r="C16" i="30"/>
  <c r="B16" i="30"/>
  <c r="B14" i="28"/>
  <c r="C15" i="28"/>
  <c r="B15" i="28"/>
  <c r="B20" i="73"/>
  <c r="B16" i="32"/>
  <c r="C19" i="71"/>
  <c r="B18" i="71"/>
  <c r="C23" i="70"/>
  <c r="B23" i="70"/>
  <c r="C23" i="63"/>
  <c r="B23" i="63"/>
  <c r="C16" i="56"/>
  <c r="B15" i="56"/>
  <c r="B21" i="73"/>
  <c r="C22" i="73"/>
  <c r="B17" i="69"/>
  <c r="C18" i="69"/>
  <c r="B17" i="66"/>
  <c r="C18" i="66"/>
  <c r="B16" i="22"/>
  <c r="C18" i="22"/>
  <c r="B15" i="25"/>
  <c r="C16" i="25"/>
  <c r="C17" i="25"/>
  <c r="C15" i="27"/>
  <c r="B15" i="27"/>
  <c r="B16" i="24"/>
  <c r="C17" i="24"/>
  <c r="C16" i="23"/>
  <c r="C17" i="23"/>
  <c r="B17" i="23"/>
  <c r="B15" i="23"/>
  <c r="B17" i="22"/>
  <c r="C18" i="30"/>
  <c r="B18" i="30"/>
  <c r="C18" i="61"/>
  <c r="B18" i="61"/>
  <c r="C16" i="28"/>
  <c r="B19" i="71"/>
  <c r="C20" i="71"/>
  <c r="C24" i="70"/>
  <c r="B24" i="70"/>
  <c r="C24" i="63"/>
  <c r="B24" i="63"/>
  <c r="B16" i="56"/>
  <c r="C18" i="56"/>
  <c r="B18" i="56"/>
  <c r="B22" i="73"/>
  <c r="C23" i="73"/>
  <c r="B18" i="69"/>
  <c r="C19" i="69"/>
  <c r="B18" i="66"/>
  <c r="C20" i="66"/>
  <c r="C19" i="22"/>
  <c r="C20" i="22"/>
  <c r="C21" i="22"/>
  <c r="C22" i="22"/>
  <c r="B18" i="22"/>
  <c r="B17" i="25"/>
  <c r="B16" i="25"/>
  <c r="C18" i="25"/>
  <c r="C16" i="27"/>
  <c r="B16" i="27"/>
  <c r="C18" i="24"/>
  <c r="C19" i="24"/>
  <c r="B17" i="24"/>
  <c r="B16" i="23"/>
  <c r="C18" i="23"/>
  <c r="B8" i="5"/>
  <c r="C19" i="30"/>
  <c r="B19" i="30"/>
  <c r="C19" i="61"/>
  <c r="C20" i="61"/>
  <c r="B20" i="61"/>
  <c r="C17" i="28"/>
  <c r="B16" i="28"/>
  <c r="B19" i="22"/>
  <c r="B18" i="32"/>
  <c r="B20" i="32"/>
  <c r="B17" i="32"/>
  <c r="B20" i="71"/>
  <c r="C21" i="71"/>
  <c r="C25" i="70"/>
  <c r="B25" i="70"/>
  <c r="C25" i="63"/>
  <c r="C26" i="63"/>
  <c r="C19" i="56"/>
  <c r="B19" i="56"/>
  <c r="B23" i="73"/>
  <c r="C24" i="73"/>
  <c r="B19" i="69"/>
  <c r="C20" i="69"/>
  <c r="B20" i="66"/>
  <c r="C21" i="66"/>
  <c r="C23" i="22"/>
  <c r="C24" i="22"/>
  <c r="B18" i="25"/>
  <c r="C19" i="25"/>
  <c r="B19" i="25"/>
  <c r="C17" i="27"/>
  <c r="B17" i="27"/>
  <c r="C20" i="24"/>
  <c r="B20" i="24"/>
  <c r="B19" i="24"/>
  <c r="B18" i="24"/>
  <c r="B18" i="23"/>
  <c r="C19" i="23"/>
  <c r="B20" i="22"/>
  <c r="B9" i="5"/>
  <c r="C20" i="30"/>
  <c r="C21" i="30"/>
  <c r="B19" i="61"/>
  <c r="C26" i="70"/>
  <c r="B17" i="28"/>
  <c r="C18" i="28"/>
  <c r="C21" i="61"/>
  <c r="C23" i="61"/>
  <c r="B23" i="61"/>
  <c r="B21" i="32"/>
  <c r="B19" i="32"/>
  <c r="B21" i="71"/>
  <c r="C22" i="71"/>
  <c r="B25" i="63"/>
  <c r="B26" i="63"/>
  <c r="C27" i="63"/>
  <c r="C20" i="56"/>
  <c r="B20" i="56"/>
  <c r="B24" i="73"/>
  <c r="C25" i="73"/>
  <c r="B26" i="70"/>
  <c r="C27" i="70"/>
  <c r="B20" i="69"/>
  <c r="C21" i="69"/>
  <c r="B21" i="66"/>
  <c r="C22" i="66"/>
  <c r="C26" i="22"/>
  <c r="C27" i="22"/>
  <c r="C28" i="22"/>
  <c r="C29" i="22"/>
  <c r="C30" i="22"/>
  <c r="C31" i="22"/>
  <c r="C32" i="22"/>
  <c r="C33" i="22"/>
  <c r="C34" i="22"/>
  <c r="C35" i="22"/>
  <c r="C36" i="22"/>
  <c r="C37" i="22"/>
  <c r="C38" i="22"/>
  <c r="B38" i="22"/>
  <c r="C20" i="25"/>
  <c r="B20" i="25"/>
  <c r="C18" i="27"/>
  <c r="B18" i="27"/>
  <c r="C21" i="24"/>
  <c r="C20" i="23"/>
  <c r="B19" i="23"/>
  <c r="B22" i="22"/>
  <c r="B10" i="5"/>
  <c r="B20" i="30"/>
  <c r="C20" i="28"/>
  <c r="B18" i="28"/>
  <c r="B21" i="61"/>
  <c r="C24" i="61"/>
  <c r="B24" i="61"/>
  <c r="B22" i="32"/>
  <c r="B22" i="71"/>
  <c r="C23" i="71"/>
  <c r="B27" i="63"/>
  <c r="C28" i="63"/>
  <c r="B28" i="63"/>
  <c r="C21" i="56"/>
  <c r="B21" i="56"/>
  <c r="B25" i="73"/>
  <c r="C26" i="73"/>
  <c r="B27" i="70"/>
  <c r="C28" i="70"/>
  <c r="B21" i="69"/>
  <c r="C22" i="69"/>
  <c r="B22" i="66"/>
  <c r="C24" i="66"/>
  <c r="C39" i="22"/>
  <c r="C40" i="22"/>
  <c r="C41" i="22"/>
  <c r="C42" i="22"/>
  <c r="C43" i="22"/>
  <c r="C44" i="22"/>
  <c r="C45" i="22"/>
  <c r="C46" i="22"/>
  <c r="C47" i="22"/>
  <c r="C48" i="22"/>
  <c r="C49" i="22"/>
  <c r="C50" i="22"/>
  <c r="C51" i="22"/>
  <c r="C52" i="22"/>
  <c r="C21" i="25"/>
  <c r="B21" i="25"/>
  <c r="C19" i="27"/>
  <c r="B19" i="27"/>
  <c r="C22" i="30"/>
  <c r="B21" i="30"/>
  <c r="C22" i="24"/>
  <c r="B21" i="24"/>
  <c r="C22" i="23"/>
  <c r="B20" i="23"/>
  <c r="B26" i="22"/>
  <c r="B21" i="22"/>
  <c r="B20" i="28"/>
  <c r="C21" i="28"/>
  <c r="C25" i="61"/>
  <c r="B23" i="71"/>
  <c r="C24" i="71"/>
  <c r="C22" i="56"/>
  <c r="B22" i="56"/>
  <c r="B26" i="73"/>
  <c r="C27" i="73"/>
  <c r="B28" i="70"/>
  <c r="C29" i="70"/>
  <c r="B22" i="69"/>
  <c r="C23" i="69"/>
  <c r="B24" i="66"/>
  <c r="C25" i="66"/>
  <c r="C22" i="25"/>
  <c r="B22" i="25"/>
  <c r="C20" i="27"/>
  <c r="B20" i="27"/>
  <c r="C23" i="30"/>
  <c r="B22" i="30"/>
  <c r="C23" i="24"/>
  <c r="B23" i="24"/>
  <c r="B22" i="24"/>
  <c r="C23" i="23"/>
  <c r="C24" i="23"/>
  <c r="B24" i="23"/>
  <c r="B22" i="23"/>
  <c r="B23" i="22"/>
  <c r="B24" i="22"/>
  <c r="B11" i="5"/>
  <c r="B12" i="5"/>
  <c r="B21" i="28"/>
  <c r="C22" i="28"/>
  <c r="B22" i="28"/>
  <c r="B23" i="32"/>
  <c r="B25" i="61"/>
  <c r="C26" i="61"/>
  <c r="B26" i="61"/>
  <c r="H17" i="32"/>
  <c r="H16" i="32"/>
  <c r="H20" i="32"/>
  <c r="H15" i="32"/>
  <c r="H14" i="32"/>
  <c r="H3" i="32"/>
  <c r="H18" i="32"/>
  <c r="H19" i="32"/>
  <c r="H10" i="32"/>
  <c r="H13" i="32"/>
  <c r="H9" i="32"/>
  <c r="H11" i="32"/>
  <c r="H12" i="32"/>
  <c r="B24" i="71"/>
  <c r="C25" i="71"/>
  <c r="B25" i="71"/>
  <c r="C23" i="56"/>
  <c r="B23" i="56"/>
  <c r="B27" i="73"/>
  <c r="C29" i="73"/>
  <c r="C26" i="71"/>
  <c r="B29" i="70"/>
  <c r="C30" i="70"/>
  <c r="B23" i="69"/>
  <c r="C25" i="69"/>
  <c r="B25" i="66"/>
  <c r="C26" i="66"/>
  <c r="C23" i="25"/>
  <c r="B23" i="25"/>
  <c r="C21" i="27"/>
  <c r="B21" i="27"/>
  <c r="C24" i="30"/>
  <c r="B23" i="30"/>
  <c r="B23" i="23"/>
  <c r="C25" i="23"/>
  <c r="B25" i="23"/>
  <c r="B13" i="5"/>
  <c r="B14" i="5"/>
  <c r="C23" i="28"/>
  <c r="B23" i="28"/>
  <c r="B24" i="32"/>
  <c r="C27" i="61"/>
  <c r="H8" i="2"/>
  <c r="C24" i="56"/>
  <c r="B24" i="56"/>
  <c r="B29" i="73"/>
  <c r="C30" i="73"/>
  <c r="B26" i="71"/>
  <c r="C28" i="71"/>
  <c r="B30" i="70"/>
  <c r="C31" i="70"/>
  <c r="B25" i="69"/>
  <c r="C26" i="69"/>
  <c r="B26" i="66"/>
  <c r="C27" i="66"/>
  <c r="C24" i="25"/>
  <c r="B24" i="25"/>
  <c r="C25" i="30"/>
  <c r="B24" i="30"/>
  <c r="C26" i="23"/>
  <c r="B26" i="23"/>
  <c r="B27" i="22"/>
  <c r="B15" i="5"/>
  <c r="B26" i="32"/>
  <c r="B27" i="61"/>
  <c r="C28" i="61"/>
  <c r="B28" i="61"/>
  <c r="C25" i="56"/>
  <c r="B25" i="56"/>
  <c r="B30" i="73"/>
  <c r="C31" i="73"/>
  <c r="B28" i="71"/>
  <c r="C29" i="71"/>
  <c r="B31" i="70"/>
  <c r="C32" i="70"/>
  <c r="B26" i="69"/>
  <c r="C28" i="69"/>
  <c r="B27" i="66"/>
  <c r="C28" i="66"/>
  <c r="C25" i="25"/>
  <c r="B25" i="25"/>
  <c r="B25" i="30"/>
  <c r="C27" i="23"/>
  <c r="B27" i="23"/>
  <c r="B28" i="22"/>
  <c r="B16" i="5"/>
  <c r="C29" i="61"/>
  <c r="C26" i="56"/>
  <c r="B26" i="56"/>
  <c r="B31" i="73"/>
  <c r="C32" i="73"/>
  <c r="C33" i="73"/>
  <c r="B29" i="71"/>
  <c r="C30" i="71"/>
  <c r="B32" i="70"/>
  <c r="C33" i="70"/>
  <c r="B28" i="69"/>
  <c r="C29" i="69"/>
  <c r="B28" i="66"/>
  <c r="C29" i="66"/>
  <c r="C26" i="25"/>
  <c r="B26" i="25"/>
  <c r="C28" i="23"/>
  <c r="B28" i="23"/>
  <c r="B29" i="22"/>
  <c r="B17" i="5"/>
  <c r="C30" i="61"/>
  <c r="B29" i="61"/>
  <c r="B29" i="32"/>
  <c r="B33" i="73"/>
  <c r="C35" i="73"/>
  <c r="C27" i="56"/>
  <c r="B32" i="73"/>
  <c r="B30" i="71"/>
  <c r="C31" i="71"/>
  <c r="B33" i="70"/>
  <c r="C35" i="70"/>
  <c r="B29" i="69"/>
  <c r="C30" i="69"/>
  <c r="B29" i="66"/>
  <c r="C30" i="66"/>
  <c r="C27" i="25"/>
  <c r="B27" i="25"/>
  <c r="C29" i="23"/>
  <c r="B29" i="23"/>
  <c r="B30" i="22"/>
  <c r="B18" i="5"/>
  <c r="B30" i="61"/>
  <c r="C32" i="61"/>
  <c r="B30" i="32"/>
  <c r="B35" i="73"/>
  <c r="C36" i="73"/>
  <c r="B27" i="56"/>
  <c r="B31" i="71"/>
  <c r="C32" i="71"/>
  <c r="B35" i="70"/>
  <c r="C36" i="70"/>
  <c r="B30" i="69"/>
  <c r="C31" i="69"/>
  <c r="B30" i="66"/>
  <c r="C31" i="66"/>
  <c r="C28" i="25"/>
  <c r="B28" i="25"/>
  <c r="C30" i="23"/>
  <c r="C31" i="23"/>
  <c r="B31" i="23"/>
  <c r="B31" i="22"/>
  <c r="B20" i="5"/>
  <c r="B32" i="61"/>
  <c r="C33" i="61"/>
  <c r="B31" i="32"/>
  <c r="B36" i="73"/>
  <c r="C37" i="73"/>
  <c r="B32" i="71"/>
  <c r="B36" i="70"/>
  <c r="C37" i="70"/>
  <c r="B31" i="69"/>
  <c r="C32" i="69"/>
  <c r="B31" i="66"/>
  <c r="C32" i="66"/>
  <c r="C29" i="25"/>
  <c r="B29" i="25"/>
  <c r="C32" i="23"/>
  <c r="B32" i="23"/>
  <c r="B30" i="23"/>
  <c r="B32" i="22"/>
  <c r="B19" i="5"/>
  <c r="B32" i="32"/>
  <c r="C34" i="61"/>
  <c r="B33" i="61"/>
  <c r="B37" i="73"/>
  <c r="C39" i="73"/>
  <c r="B37" i="70"/>
  <c r="C39" i="70"/>
  <c r="B32" i="69"/>
  <c r="C33" i="69"/>
  <c r="B32" i="66"/>
  <c r="C33" i="66"/>
  <c r="C30" i="25"/>
  <c r="B30" i="25"/>
  <c r="B33" i="22"/>
  <c r="B21" i="5"/>
  <c r="B22" i="5"/>
  <c r="B33" i="32"/>
  <c r="C35" i="61"/>
  <c r="B34" i="61"/>
  <c r="B39" i="73"/>
  <c r="C40" i="73"/>
  <c r="B39" i="70"/>
  <c r="C40" i="70"/>
  <c r="B33" i="69"/>
  <c r="C34" i="69"/>
  <c r="B33" i="66"/>
  <c r="C34" i="66"/>
  <c r="C31" i="25"/>
  <c r="B31" i="25"/>
  <c r="B34" i="22"/>
  <c r="B23" i="5"/>
  <c r="B34" i="32"/>
  <c r="B35" i="61"/>
  <c r="C36" i="61"/>
  <c r="C41" i="73"/>
  <c r="B40" i="73"/>
  <c r="B40" i="70"/>
  <c r="C41" i="70"/>
  <c r="B34" i="69"/>
  <c r="C35" i="69"/>
  <c r="B34" i="66"/>
  <c r="C35" i="66"/>
  <c r="C32" i="25"/>
  <c r="B32" i="25"/>
  <c r="B35" i="22"/>
  <c r="B24" i="5"/>
  <c r="B36" i="61"/>
  <c r="C37" i="61"/>
  <c r="B35" i="32"/>
  <c r="B41" i="73"/>
  <c r="C42" i="73"/>
  <c r="B41" i="70"/>
  <c r="C42" i="70"/>
  <c r="B35" i="69"/>
  <c r="C36" i="69"/>
  <c r="B35" i="66"/>
  <c r="C36" i="66"/>
  <c r="C33" i="25"/>
  <c r="B33" i="25"/>
  <c r="B36" i="22"/>
  <c r="B25" i="5"/>
  <c r="B36" i="32"/>
  <c r="B37" i="61"/>
  <c r="C38" i="61"/>
  <c r="B42" i="73"/>
  <c r="C43" i="73"/>
  <c r="B42" i="70"/>
  <c r="C43" i="70"/>
  <c r="B36" i="69"/>
  <c r="C37" i="69"/>
  <c r="B36" i="66"/>
  <c r="C37" i="66"/>
  <c r="C34" i="25"/>
  <c r="B34" i="25"/>
  <c r="B37" i="22"/>
  <c r="B26" i="5"/>
  <c r="B38" i="61"/>
  <c r="C39" i="61"/>
  <c r="B39" i="61"/>
  <c r="B37" i="32"/>
  <c r="B43" i="73"/>
  <c r="C44" i="73"/>
  <c r="B43" i="70"/>
  <c r="C44" i="70"/>
  <c r="B37" i="69"/>
  <c r="C38" i="69"/>
  <c r="B37" i="66"/>
  <c r="C35" i="25"/>
  <c r="B39" i="22"/>
  <c r="B27" i="5"/>
  <c r="C40" i="61"/>
  <c r="B40" i="61"/>
  <c r="B38" i="32"/>
  <c r="C45" i="73"/>
  <c r="B44" i="73"/>
  <c r="B44" i="70"/>
  <c r="C45" i="70"/>
  <c r="B38" i="69"/>
  <c r="C39" i="69"/>
  <c r="B35" i="25"/>
  <c r="C36" i="25"/>
  <c r="B40" i="22"/>
  <c r="B28" i="5"/>
  <c r="C41" i="61"/>
  <c r="B41" i="61"/>
  <c r="B39" i="32"/>
  <c r="B45" i="73"/>
  <c r="C46" i="73"/>
  <c r="B45" i="70"/>
  <c r="B39" i="69"/>
  <c r="C40" i="69"/>
  <c r="C37" i="25"/>
  <c r="B36" i="25"/>
  <c r="B41" i="22"/>
  <c r="B29" i="5"/>
  <c r="C42" i="61"/>
  <c r="B42" i="61"/>
  <c r="B40" i="32"/>
  <c r="C47" i="73"/>
  <c r="B46" i="73"/>
  <c r="B40" i="69"/>
  <c r="C41" i="69"/>
  <c r="C38" i="25"/>
  <c r="B37" i="25"/>
  <c r="B42" i="22"/>
  <c r="B30" i="5"/>
  <c r="C43" i="61"/>
  <c r="B43" i="61"/>
  <c r="B41" i="32"/>
  <c r="B47" i="73"/>
  <c r="C48" i="73"/>
  <c r="B41" i="69"/>
  <c r="C42" i="69"/>
  <c r="C39" i="25"/>
  <c r="B38" i="25"/>
  <c r="B43" i="22"/>
  <c r="B31" i="5"/>
  <c r="C44" i="61"/>
  <c r="B42" i="32"/>
  <c r="C49" i="73"/>
  <c r="B48" i="73"/>
  <c r="B42" i="69"/>
  <c r="C43" i="69"/>
  <c r="C44" i="69"/>
  <c r="C40" i="25"/>
  <c r="B39" i="25"/>
  <c r="B44" i="22"/>
  <c r="B32" i="5"/>
  <c r="B44" i="61"/>
  <c r="C45" i="61"/>
  <c r="B44" i="32"/>
  <c r="B49" i="73"/>
  <c r="C50" i="73"/>
  <c r="C45" i="69"/>
  <c r="B44" i="69"/>
  <c r="B43" i="69"/>
  <c r="C41" i="25"/>
  <c r="B40" i="25"/>
  <c r="B45" i="22"/>
  <c r="B33" i="5"/>
  <c r="C46" i="61"/>
  <c r="B45" i="61"/>
  <c r="B45" i="32"/>
  <c r="C51" i="73"/>
  <c r="B50" i="73"/>
  <c r="B45" i="69"/>
  <c r="C47" i="69"/>
  <c r="C42" i="25"/>
  <c r="B41" i="25"/>
  <c r="B46" i="22"/>
  <c r="B34" i="5"/>
  <c r="B46" i="61"/>
  <c r="C47" i="61"/>
  <c r="B51" i="73"/>
  <c r="C52" i="73"/>
  <c r="B46" i="32"/>
  <c r="B47" i="69"/>
  <c r="C48" i="69"/>
  <c r="C49" i="69"/>
  <c r="B49" i="69"/>
  <c r="C43" i="25"/>
  <c r="B42" i="25"/>
  <c r="B47" i="22"/>
  <c r="B36" i="5"/>
  <c r="C48" i="61"/>
  <c r="B47" i="61"/>
  <c r="B47" i="32"/>
  <c r="B52" i="73"/>
  <c r="C53" i="73"/>
  <c r="B48" i="69"/>
  <c r="C50" i="69"/>
  <c r="C51" i="69"/>
  <c r="B51" i="69"/>
  <c r="C44" i="25"/>
  <c r="C45" i="25"/>
  <c r="C46" i="25"/>
  <c r="C47" i="25"/>
  <c r="C48" i="25"/>
  <c r="C49" i="25"/>
  <c r="C50" i="25"/>
  <c r="B50" i="25"/>
  <c r="B43" i="25"/>
  <c r="B48" i="22"/>
  <c r="B37" i="5"/>
  <c r="C50" i="61"/>
  <c r="B48" i="61"/>
  <c r="C54" i="73"/>
  <c r="B53" i="73"/>
  <c r="B48" i="32"/>
  <c r="C52" i="69"/>
  <c r="B52" i="69"/>
  <c r="B50" i="69"/>
  <c r="B44" i="25"/>
  <c r="B45" i="25"/>
  <c r="B46" i="25"/>
  <c r="B49" i="22"/>
  <c r="B38" i="5"/>
  <c r="B50" i="61"/>
  <c r="C51" i="61"/>
  <c r="B49" i="32"/>
  <c r="B54" i="73"/>
  <c r="C55" i="73"/>
  <c r="C53" i="69"/>
  <c r="B53" i="69"/>
  <c r="B47" i="25"/>
  <c r="B50" i="22"/>
  <c r="B39" i="5"/>
  <c r="B51" i="61"/>
  <c r="C52" i="61"/>
  <c r="B55" i="73"/>
  <c r="C56" i="73"/>
  <c r="C52" i="32"/>
  <c r="B52" i="32"/>
  <c r="C54" i="69"/>
  <c r="B54" i="69"/>
  <c r="B48" i="25"/>
  <c r="B51" i="22"/>
  <c r="B40" i="5"/>
  <c r="B52" i="61"/>
  <c r="C53" i="61"/>
  <c r="B56" i="73"/>
  <c r="C57" i="73"/>
  <c r="C55" i="69"/>
  <c r="B55" i="69"/>
  <c r="B52" i="22"/>
  <c r="B41" i="5"/>
  <c r="B53" i="61"/>
  <c r="C54" i="61"/>
  <c r="C58" i="73"/>
  <c r="B57" i="73"/>
  <c r="C56" i="69"/>
  <c r="B56" i="69"/>
  <c r="B42" i="5"/>
  <c r="B54" i="61"/>
  <c r="C55" i="61"/>
  <c r="B55" i="61"/>
  <c r="B58" i="73"/>
  <c r="C59" i="73"/>
  <c r="C57" i="69"/>
  <c r="B57" i="69"/>
  <c r="C56" i="61"/>
  <c r="B56" i="61"/>
  <c r="B59" i="73"/>
  <c r="C60" i="73"/>
  <c r="C57" i="61"/>
  <c r="B57" i="61"/>
  <c r="B60" i="73"/>
  <c r="C62" i="73"/>
  <c r="C58" i="61"/>
  <c r="B58" i="61"/>
  <c r="B62" i="73"/>
  <c r="C63" i="73"/>
  <c r="C59" i="61"/>
  <c r="B59" i="61"/>
  <c r="B63" i="73"/>
  <c r="C64" i="73"/>
  <c r="C60" i="61"/>
  <c r="B60" i="61"/>
  <c r="B64" i="73"/>
  <c r="C65" i="73"/>
  <c r="C61" i="61"/>
  <c r="B61" i="61"/>
  <c r="B65" i="73"/>
  <c r="C66" i="73"/>
  <c r="C62" i="61"/>
  <c r="B62" i="61"/>
  <c r="B66" i="73"/>
  <c r="C67" i="73"/>
  <c r="C63" i="61"/>
  <c r="B63" i="61"/>
  <c r="B67" i="73"/>
  <c r="C68" i="73"/>
  <c r="C64" i="61"/>
  <c r="B64" i="61"/>
  <c r="C69" i="73"/>
  <c r="B68" i="73"/>
  <c r="C65" i="61"/>
  <c r="C66" i="61"/>
  <c r="B66" i="61"/>
  <c r="B69" i="73"/>
  <c r="C70" i="73"/>
  <c r="C67" i="61"/>
  <c r="C68" i="61"/>
  <c r="B65" i="61"/>
  <c r="C71" i="73"/>
  <c r="B70" i="73"/>
  <c r="B67" i="61"/>
  <c r="B68" i="61"/>
  <c r="C69" i="61"/>
  <c r="C72" i="73"/>
  <c r="B71" i="73"/>
  <c r="B69" i="61"/>
  <c r="C70" i="61"/>
  <c r="C73" i="73"/>
  <c r="B72" i="73"/>
  <c r="B70" i="61"/>
  <c r="C71" i="61"/>
  <c r="C74" i="73"/>
  <c r="B73" i="73"/>
  <c r="B71" i="61"/>
  <c r="C72" i="61"/>
  <c r="C75" i="73"/>
  <c r="B74" i="73"/>
  <c r="B72" i="61"/>
  <c r="C73" i="61"/>
  <c r="C76" i="73"/>
  <c r="B75" i="73"/>
  <c r="B73" i="61"/>
  <c r="C75" i="61"/>
  <c r="C77" i="73"/>
  <c r="B76" i="73"/>
  <c r="B75" i="61"/>
  <c r="C76" i="61"/>
  <c r="B76" i="61"/>
  <c r="C78" i="73"/>
  <c r="B77" i="73"/>
  <c r="C77" i="61"/>
  <c r="C79" i="73"/>
  <c r="B78" i="73"/>
  <c r="B77" i="61"/>
  <c r="C78" i="61"/>
  <c r="C80" i="73"/>
  <c r="B79" i="73"/>
  <c r="C79" i="61"/>
  <c r="B78" i="61"/>
  <c r="C81" i="73"/>
  <c r="B80" i="73"/>
  <c r="B79" i="61"/>
  <c r="C80" i="61"/>
  <c r="C82" i="73"/>
  <c r="B81" i="73"/>
  <c r="B80" i="61"/>
  <c r="C81" i="61"/>
  <c r="C83" i="73"/>
  <c r="B82" i="73"/>
  <c r="B81" i="61"/>
  <c r="C84" i="61"/>
  <c r="C84" i="73"/>
  <c r="B83" i="73"/>
  <c r="B84" i="61"/>
  <c r="C85" i="61"/>
  <c r="C86" i="73"/>
  <c r="B84" i="73"/>
  <c r="B85" i="61"/>
  <c r="C86" i="61"/>
  <c r="B86" i="61"/>
  <c r="C87" i="73"/>
  <c r="B86" i="73"/>
  <c r="C87" i="61"/>
  <c r="C88" i="73"/>
  <c r="B87" i="73"/>
  <c r="B87" i="61"/>
  <c r="C88" i="61"/>
  <c r="C89" i="73"/>
  <c r="B88" i="73"/>
  <c r="B88" i="61"/>
  <c r="C89" i="61"/>
  <c r="B89" i="61"/>
  <c r="C90" i="73"/>
  <c r="B89" i="73"/>
  <c r="C90" i="61"/>
  <c r="C91" i="73"/>
  <c r="B90" i="73"/>
  <c r="B90" i="61"/>
  <c r="C91" i="61"/>
  <c r="C93" i="73"/>
  <c r="B91" i="73"/>
  <c r="C92" i="61"/>
  <c r="B92" i="61"/>
  <c r="B91" i="61"/>
  <c r="C94" i="73"/>
  <c r="B93" i="73"/>
  <c r="C93" i="61"/>
  <c r="C95" i="73"/>
  <c r="B94" i="73"/>
  <c r="B93" i="61"/>
  <c r="C94" i="61"/>
  <c r="C97" i="73"/>
  <c r="B95" i="73"/>
  <c r="B94" i="61"/>
  <c r="C95" i="61"/>
  <c r="B95" i="61"/>
  <c r="C98" i="73"/>
  <c r="B97" i="73"/>
  <c r="C96" i="61"/>
  <c r="C99" i="73"/>
  <c r="B98" i="73"/>
  <c r="B96" i="61"/>
  <c r="C97" i="61"/>
  <c r="C100" i="73"/>
  <c r="B99" i="73"/>
  <c r="B97" i="61"/>
  <c r="C98" i="61"/>
  <c r="B98" i="61"/>
  <c r="C101" i="73"/>
  <c r="B100" i="73"/>
  <c r="C99" i="61"/>
  <c r="B99" i="61"/>
  <c r="C102" i="73"/>
  <c r="B101" i="73"/>
  <c r="C101" i="61"/>
  <c r="C103" i="73"/>
  <c r="B102" i="73"/>
  <c r="B101" i="61"/>
  <c r="C102" i="61"/>
  <c r="C104" i="73"/>
  <c r="B103" i="73"/>
  <c r="B102" i="61"/>
  <c r="C103" i="61"/>
  <c r="C105" i="73"/>
  <c r="B104" i="73"/>
  <c r="B103" i="61"/>
  <c r="C104" i="61"/>
  <c r="C106" i="73"/>
  <c r="B105" i="73"/>
  <c r="C105" i="61"/>
  <c r="B105" i="61"/>
  <c r="B104" i="61"/>
  <c r="C108" i="73"/>
  <c r="B106" i="73"/>
  <c r="C106" i="61"/>
  <c r="B109" i="73"/>
  <c r="B108" i="73"/>
  <c r="B106" i="61"/>
  <c r="C107" i="61"/>
  <c r="B110" i="73"/>
  <c r="B107" i="61"/>
  <c r="C108" i="61"/>
  <c r="B108" i="61"/>
  <c r="C109" i="61"/>
  <c r="B109" i="61"/>
  <c r="C110" i="61"/>
  <c r="B110" i="61"/>
  <c r="C111" i="61"/>
  <c r="C112" i="61"/>
  <c r="B111" i="61"/>
  <c r="C113" i="61"/>
  <c r="B112" i="61"/>
  <c r="B113" i="61"/>
  <c r="C114" i="61"/>
  <c r="B114" i="61"/>
  <c r="C115" i="61"/>
  <c r="B115" i="61"/>
  <c r="C116" i="61"/>
  <c r="B116" i="61"/>
  <c r="C117" i="61"/>
  <c r="C118" i="61"/>
  <c r="B117" i="61"/>
  <c r="C119" i="61"/>
  <c r="B118" i="61"/>
  <c r="C120" i="61"/>
  <c r="B119" i="61"/>
  <c r="C121" i="61"/>
  <c r="B120" i="61"/>
  <c r="B121" i="61"/>
  <c r="C122" i="61"/>
  <c r="B122" i="61"/>
  <c r="C123" i="61"/>
  <c r="C124" i="61"/>
  <c r="B123" i="61"/>
  <c r="C125" i="61"/>
  <c r="B124" i="61"/>
  <c r="B125" i="61"/>
  <c r="C126" i="61"/>
  <c r="B126" i="61"/>
  <c r="C127" i="61"/>
  <c r="B127" i="61"/>
  <c r="C128" i="61"/>
  <c r="C129" i="61"/>
  <c r="B128" i="61"/>
  <c r="B129" i="61"/>
  <c r="C130" i="61"/>
  <c r="C131" i="61"/>
  <c r="B130" i="61"/>
  <c r="C132" i="61"/>
  <c r="B131" i="61"/>
  <c r="B132" i="61"/>
  <c r="C133" i="61"/>
  <c r="B133" i="61"/>
  <c r="C134" i="61"/>
  <c r="B134" i="61"/>
  <c r="C135" i="61"/>
  <c r="B135" i="61"/>
  <c r="C136" i="61"/>
  <c r="C137" i="61"/>
  <c r="B136" i="61"/>
  <c r="B137" i="61"/>
  <c r="C138" i="61"/>
  <c r="B138" i="61"/>
  <c r="C139" i="61"/>
  <c r="B139" i="61"/>
  <c r="C140" i="61"/>
  <c r="B140" i="61"/>
  <c r="C141" i="61"/>
  <c r="B141" i="61"/>
  <c r="C142" i="61"/>
  <c r="B142" i="61"/>
  <c r="C143" i="61"/>
  <c r="B143" i="61"/>
  <c r="C144" i="61"/>
  <c r="B144" i="61"/>
  <c r="C145" i="61"/>
  <c r="B145" i="61"/>
  <c r="C146" i="61"/>
  <c r="C147" i="61"/>
  <c r="B146" i="61"/>
  <c r="B147" i="61"/>
  <c r="C148" i="61"/>
  <c r="C149" i="61"/>
  <c r="B148" i="61"/>
  <c r="C150" i="61"/>
  <c r="B149" i="61"/>
  <c r="C151" i="61"/>
  <c r="B150" i="61"/>
  <c r="B151" i="61"/>
  <c r="C152" i="61"/>
  <c r="B152" i="61"/>
  <c r="C153" i="61"/>
  <c r="C154" i="61"/>
  <c r="B153" i="61"/>
  <c r="B154" i="61"/>
  <c r="C155" i="61"/>
  <c r="B155" i="61"/>
  <c r="C156" i="61"/>
  <c r="B156" i="61"/>
  <c r="C157" i="61"/>
  <c r="B157" i="61"/>
  <c r="C158" i="61"/>
  <c r="C159" i="61"/>
  <c r="B158" i="61"/>
  <c r="B159" i="61"/>
  <c r="C160" i="61"/>
  <c r="B160" i="61"/>
  <c r="C161" i="61"/>
  <c r="B161" i="61"/>
  <c r="C162" i="61"/>
  <c r="B162" i="61"/>
  <c r="C163" i="61"/>
  <c r="C164" i="61"/>
  <c r="B163" i="61"/>
  <c r="B164" i="61"/>
  <c r="C165" i="61"/>
  <c r="B165" i="61"/>
  <c r="C166" i="61"/>
  <c r="B166" i="61"/>
  <c r="C168" i="61"/>
  <c r="B168" i="61"/>
  <c r="C169" i="61"/>
  <c r="C170" i="61"/>
  <c r="B169" i="61"/>
  <c r="C171" i="61"/>
  <c r="B170" i="61"/>
  <c r="B171" i="61"/>
  <c r="C172" i="61"/>
  <c r="B172" i="61"/>
  <c r="C173" i="61"/>
  <c r="C174" i="61"/>
  <c r="B173" i="61"/>
  <c r="C175" i="61"/>
  <c r="B174" i="61"/>
  <c r="C176" i="61"/>
  <c r="B175" i="61"/>
  <c r="B176" i="61"/>
  <c r="C177" i="61"/>
  <c r="B177" i="61"/>
  <c r="C178" i="61"/>
  <c r="C179" i="61"/>
  <c r="B178" i="61"/>
  <c r="B179" i="61"/>
  <c r="C180" i="61"/>
  <c r="B180" i="61"/>
  <c r="C181" i="61"/>
  <c r="C182" i="61"/>
  <c r="B181" i="61"/>
  <c r="C183" i="61"/>
  <c r="B182" i="61"/>
  <c r="B183" i="61"/>
  <c r="C184" i="61"/>
  <c r="B184" i="61"/>
  <c r="C185" i="61"/>
  <c r="B185" i="61"/>
  <c r="C186" i="61"/>
  <c r="C187" i="61"/>
  <c r="B187" i="61"/>
  <c r="B186" i="61"/>
  <c r="C188" i="61"/>
  <c r="B188" i="61"/>
  <c r="C189" i="61"/>
  <c r="B189" i="61"/>
  <c r="C190" i="61"/>
  <c r="C191" i="61"/>
  <c r="B191" i="61"/>
  <c r="B190" i="61"/>
  <c r="C192" i="61"/>
  <c r="B192" i="61"/>
  <c r="C194" i="61"/>
  <c r="B194" i="61"/>
  <c r="C195" i="61"/>
  <c r="B195" i="61"/>
  <c r="C196" i="61"/>
  <c r="B196" i="61"/>
  <c r="C197" i="61"/>
  <c r="B197" i="61"/>
  <c r="C198" i="61"/>
  <c r="B198" i="61"/>
  <c r="C199" i="61"/>
  <c r="B199" i="61"/>
  <c r="C200" i="61"/>
  <c r="B200" i="61"/>
  <c r="C201" i="61"/>
  <c r="B201" i="61"/>
  <c r="C202" i="61"/>
  <c r="B202" i="61"/>
  <c r="C203" i="61"/>
  <c r="B203" i="61"/>
  <c r="C204" i="61"/>
  <c r="B204" i="61"/>
  <c r="C205" i="61"/>
  <c r="B205" i="61"/>
  <c r="C207" i="61"/>
  <c r="B207" i="61"/>
  <c r="C208" i="61"/>
  <c r="B208" i="61"/>
  <c r="C209" i="61"/>
  <c r="B209" i="61"/>
  <c r="C210" i="61"/>
  <c r="B210" i="61"/>
  <c r="C211" i="61"/>
  <c r="B211" i="61"/>
  <c r="C212" i="61"/>
  <c r="B212" i="61"/>
  <c r="C213" i="61"/>
  <c r="B213" i="61"/>
  <c r="B111" i="73"/>
  <c r="C112" i="73"/>
  <c r="C30" i="63"/>
  <c r="B30" i="63"/>
  <c r="H18" i="2"/>
  <c r="C31" i="63"/>
  <c r="C6" i="26"/>
  <c r="C9" i="26"/>
  <c r="B9" i="26"/>
  <c r="C8" i="26"/>
  <c r="B8" i="26"/>
  <c r="C7" i="26"/>
  <c r="B7" i="26"/>
  <c r="B5" i="26"/>
  <c r="C113" i="73"/>
  <c r="C114" i="73"/>
  <c r="B114" i="73"/>
  <c r="C115" i="73"/>
  <c r="B115" i="73"/>
  <c r="B112" i="73"/>
  <c r="C33" i="63"/>
  <c r="B31" i="63"/>
  <c r="C10" i="26"/>
  <c r="B6" i="26"/>
  <c r="C11" i="26"/>
  <c r="B11" i="26"/>
  <c r="C116" i="73"/>
  <c r="B113" i="73"/>
  <c r="B33" i="63"/>
  <c r="C34" i="63"/>
  <c r="C35" i="63"/>
  <c r="B35" i="63"/>
  <c r="C12" i="26"/>
  <c r="B10" i="26"/>
  <c r="B116" i="73"/>
  <c r="C117" i="73"/>
  <c r="C118" i="73"/>
  <c r="B118" i="73"/>
  <c r="C119" i="73"/>
  <c r="B119" i="73"/>
  <c r="B34" i="63"/>
  <c r="C36" i="63"/>
  <c r="B12" i="26"/>
  <c r="C13" i="26"/>
  <c r="C14" i="26"/>
  <c r="C120" i="73"/>
  <c r="B117" i="73"/>
  <c r="B36" i="63"/>
  <c r="C37" i="63"/>
  <c r="B37" i="63"/>
  <c r="B14" i="26"/>
  <c r="B13" i="26"/>
  <c r="C15" i="26"/>
  <c r="B15" i="26"/>
  <c r="B120" i="73"/>
  <c r="C121" i="73"/>
  <c r="C38" i="63"/>
  <c r="B38" i="63"/>
  <c r="C16" i="26"/>
  <c r="B121" i="73"/>
  <c r="C122" i="73"/>
  <c r="C39" i="63"/>
  <c r="B16" i="26"/>
  <c r="C17" i="26"/>
  <c r="B122" i="73"/>
  <c r="C123" i="73"/>
  <c r="B39" i="63"/>
  <c r="C40" i="63"/>
  <c r="B17" i="26"/>
  <c r="C18" i="26"/>
  <c r="B18" i="26"/>
  <c r="B123" i="73"/>
  <c r="C124" i="73"/>
  <c r="B40" i="63"/>
  <c r="C41" i="63"/>
  <c r="C19" i="26"/>
  <c r="B124" i="73"/>
  <c r="C125" i="73"/>
  <c r="B41" i="63"/>
  <c r="C42" i="63"/>
  <c r="B19" i="26"/>
  <c r="C21" i="26"/>
  <c r="B125" i="73"/>
  <c r="C126" i="73"/>
  <c r="B42" i="63"/>
  <c r="C43" i="63"/>
  <c r="B43" i="63"/>
  <c r="B21" i="26"/>
  <c r="C22" i="26"/>
  <c r="B126" i="73"/>
  <c r="C127" i="73"/>
  <c r="C44" i="63"/>
  <c r="B22" i="26"/>
  <c r="C23" i="26"/>
  <c r="C128" i="73"/>
  <c r="B127" i="73"/>
  <c r="B44" i="63"/>
  <c r="C45" i="63"/>
  <c r="B23" i="26"/>
  <c r="C24" i="26"/>
  <c r="C129" i="73"/>
  <c r="B128" i="73"/>
  <c r="B45" i="63"/>
  <c r="C46" i="63"/>
  <c r="B46" i="63"/>
  <c r="B24" i="26"/>
  <c r="C25" i="26"/>
  <c r="C130" i="73"/>
  <c r="B129" i="73"/>
  <c r="C47" i="63"/>
  <c r="B25" i="26"/>
  <c r="C26" i="26"/>
  <c r="B130" i="73"/>
  <c r="C131" i="73"/>
  <c r="B47" i="63"/>
  <c r="C49" i="63"/>
  <c r="B26" i="26"/>
  <c r="C27" i="26"/>
  <c r="C132" i="73"/>
  <c r="B131" i="73"/>
  <c r="B49" i="63"/>
  <c r="C50" i="63"/>
  <c r="B27" i="26"/>
  <c r="C28" i="26"/>
  <c r="C133" i="73"/>
  <c r="B132" i="73"/>
  <c r="B50" i="63"/>
  <c r="C52" i="63"/>
  <c r="B28" i="26"/>
  <c r="C29" i="26"/>
  <c r="C134" i="73"/>
  <c r="B133" i="73"/>
  <c r="B52" i="63"/>
  <c r="C53" i="63"/>
  <c r="B53" i="63"/>
  <c r="B29" i="26"/>
  <c r="C30" i="26"/>
  <c r="C135" i="73"/>
  <c r="B134" i="73"/>
  <c r="C54" i="63"/>
  <c r="B30" i="26"/>
  <c r="C31" i="26"/>
  <c r="C136" i="73"/>
  <c r="B135" i="73"/>
  <c r="B54" i="63"/>
  <c r="C55" i="63"/>
  <c r="B55" i="63"/>
  <c r="B31" i="26"/>
  <c r="C32" i="26"/>
  <c r="C137" i="73"/>
  <c r="B136" i="73"/>
  <c r="C56" i="63"/>
  <c r="B32" i="26"/>
  <c r="C33" i="26"/>
  <c r="C138" i="73"/>
  <c r="B137" i="73"/>
  <c r="C57" i="63"/>
  <c r="B56" i="63"/>
  <c r="B33" i="26"/>
  <c r="C34" i="26"/>
  <c r="C139" i="73"/>
  <c r="B138" i="73"/>
  <c r="B57" i="63"/>
  <c r="C58" i="63"/>
  <c r="B34" i="26"/>
  <c r="C35" i="26"/>
  <c r="C140" i="73"/>
  <c r="B139" i="73"/>
  <c r="B58" i="63"/>
  <c r="C59" i="63"/>
  <c r="B35" i="26"/>
  <c r="C36" i="26"/>
  <c r="C141" i="73"/>
  <c r="B140" i="73"/>
  <c r="B59" i="63"/>
  <c r="C60" i="63"/>
  <c r="B36" i="26"/>
  <c r="C37" i="26"/>
  <c r="C142" i="73"/>
  <c r="B141" i="73"/>
  <c r="C61" i="63"/>
  <c r="B60" i="63"/>
  <c r="B37" i="26"/>
  <c r="C38" i="26"/>
  <c r="C143" i="73"/>
  <c r="B142" i="73"/>
  <c r="B61" i="63"/>
  <c r="C63" i="63"/>
  <c r="B38" i="26"/>
  <c r="C39" i="26"/>
  <c r="C144" i="73"/>
  <c r="B143" i="73"/>
  <c r="B63" i="63"/>
  <c r="C64" i="63"/>
  <c r="B39" i="26"/>
  <c r="C40" i="26"/>
  <c r="C145" i="73"/>
  <c r="B144" i="73"/>
  <c r="B64" i="63"/>
  <c r="C65" i="63"/>
  <c r="B40" i="26"/>
  <c r="C41" i="26"/>
  <c r="C146" i="73"/>
  <c r="B145" i="73"/>
  <c r="B65" i="63"/>
  <c r="C66" i="63"/>
  <c r="B41" i="26"/>
  <c r="C42" i="26"/>
  <c r="C147" i="73"/>
  <c r="B146" i="73"/>
  <c r="B66" i="63"/>
  <c r="C68" i="63"/>
  <c r="B42" i="26"/>
  <c r="C43" i="26"/>
  <c r="B43" i="26"/>
  <c r="C148" i="73"/>
  <c r="B147" i="73"/>
  <c r="B68" i="63"/>
  <c r="C69" i="63"/>
  <c r="C149" i="73"/>
  <c r="B148" i="73"/>
  <c r="C71" i="63"/>
  <c r="B71" i="63"/>
  <c r="B69" i="63"/>
  <c r="C150" i="73"/>
  <c r="B149" i="73"/>
  <c r="C72" i="63"/>
  <c r="C151" i="73"/>
  <c r="B150" i="73"/>
  <c r="B72" i="63"/>
  <c r="C74" i="63"/>
  <c r="C152" i="73"/>
  <c r="B151" i="73"/>
  <c r="B74" i="63"/>
  <c r="C76" i="63"/>
  <c r="C153" i="73"/>
  <c r="B152" i="73"/>
  <c r="B76" i="63"/>
  <c r="C78" i="63"/>
  <c r="B78" i="63"/>
  <c r="C154" i="73"/>
  <c r="B153" i="73"/>
  <c r="C155" i="73"/>
  <c r="B154" i="73"/>
  <c r="C156" i="73"/>
  <c r="B155" i="73"/>
  <c r="C157" i="73"/>
  <c r="B156" i="73"/>
  <c r="C158" i="73"/>
  <c r="B158" i="73"/>
  <c r="B157" i="73"/>
  <c r="C108" i="6"/>
  <c r="C141" i="6"/>
  <c r="C86" i="6"/>
  <c r="C116" i="6"/>
  <c r="C146" i="6"/>
  <c r="C149" i="6"/>
  <c r="C119" i="6"/>
  <c r="C67" i="6"/>
  <c r="C157" i="6"/>
  <c r="C97" i="6"/>
  <c r="C127" i="6"/>
  <c r="C88" i="6"/>
  <c r="C58" i="6"/>
  <c r="C123" i="6"/>
  <c r="C63" i="6"/>
  <c r="C93" i="6"/>
  <c r="C120" i="6"/>
  <c r="C94" i="6"/>
  <c r="C64" i="6"/>
  <c r="C70" i="6"/>
  <c r="C100" i="6"/>
  <c r="C102" i="6"/>
  <c r="C132" i="6"/>
  <c r="C72" i="6"/>
  <c r="C162" i="6"/>
  <c r="C54" i="6"/>
  <c r="C84" i="6"/>
  <c r="K10" i="62"/>
  <c r="K6" i="65"/>
  <c r="K4" i="67"/>
  <c r="K4" i="72"/>
  <c r="K3" i="72"/>
  <c r="K18" i="70"/>
  <c r="K5" i="65"/>
  <c r="K31" i="69"/>
  <c r="K25" i="23"/>
  <c r="K16" i="32"/>
  <c r="K23" i="80"/>
  <c r="K6" i="62"/>
  <c r="K47" i="32"/>
  <c r="K4" i="56"/>
  <c r="K23" i="56"/>
  <c r="K27" i="56"/>
  <c r="K10" i="58"/>
  <c r="K7" i="62"/>
  <c r="K8" i="67"/>
  <c r="K10" i="67"/>
  <c r="K12" i="67"/>
  <c r="K14" i="67"/>
  <c r="K9" i="69"/>
  <c r="K22" i="70"/>
  <c r="K30" i="70"/>
  <c r="K35" i="70"/>
  <c r="K31" i="26"/>
  <c r="K7" i="65"/>
  <c r="K9" i="65"/>
  <c r="K13" i="67"/>
  <c r="K15" i="67"/>
  <c r="K8" i="69"/>
  <c r="K10" i="69"/>
  <c r="K14" i="69"/>
  <c r="K16" i="69"/>
  <c r="K18" i="69"/>
  <c r="K20" i="69"/>
  <c r="K25" i="69"/>
  <c r="K30" i="69"/>
  <c r="K34" i="69"/>
  <c r="K38" i="69"/>
  <c r="K42" i="69"/>
  <c r="K6" i="70"/>
  <c r="K15" i="70"/>
  <c r="K24" i="70"/>
  <c r="K32" i="70"/>
  <c r="K37" i="70"/>
  <c r="K42" i="70"/>
  <c r="K46" i="32"/>
  <c r="K4" i="5"/>
  <c r="K17" i="71"/>
  <c r="K51" i="32"/>
  <c r="K4" i="79"/>
  <c r="K5" i="79"/>
  <c r="K6" i="79"/>
  <c r="K7" i="79"/>
  <c r="K8" i="79"/>
  <c r="K9" i="79"/>
  <c r="K3" i="79"/>
  <c r="D52" i="6"/>
  <c r="K29" i="23"/>
  <c r="K4" i="26"/>
  <c r="K5" i="59"/>
  <c r="K8" i="62"/>
  <c r="K4" i="62"/>
  <c r="K5" i="62"/>
  <c r="K9" i="62"/>
  <c r="K3" i="62"/>
  <c r="K48" i="69"/>
  <c r="K41" i="70"/>
  <c r="K5" i="71"/>
  <c r="K9" i="77"/>
  <c r="K11" i="77"/>
  <c r="K54" i="69"/>
  <c r="K27" i="22"/>
  <c r="K31" i="22"/>
  <c r="K43" i="22"/>
  <c r="K47" i="22"/>
  <c r="K7" i="32"/>
  <c r="K52" i="32"/>
  <c r="K8" i="56"/>
  <c r="K19" i="56"/>
  <c r="K5" i="58"/>
  <c r="K6" i="71"/>
  <c r="K28" i="71"/>
  <c r="K32" i="71"/>
  <c r="K17" i="32"/>
  <c r="K15" i="5"/>
  <c r="K23" i="5"/>
  <c r="K27" i="5"/>
  <c r="K26" i="69"/>
  <c r="K10" i="77"/>
  <c r="K52" i="69"/>
  <c r="K15" i="71"/>
  <c r="K12" i="71"/>
  <c r="K76" i="63"/>
  <c r="K40" i="5"/>
  <c r="K21" i="26"/>
  <c r="K6" i="67"/>
  <c r="K5" i="67"/>
  <c r="K7" i="67"/>
  <c r="K9" i="67"/>
  <c r="K11" i="67"/>
  <c r="K3" i="67"/>
  <c r="D65" i="6"/>
  <c r="K12" i="70"/>
  <c r="K7" i="58"/>
  <c r="K19" i="71"/>
  <c r="K43" i="70"/>
  <c r="K16" i="23"/>
  <c r="K8" i="26"/>
  <c r="K10" i="26"/>
  <c r="K32" i="26"/>
  <c r="K23" i="28"/>
  <c r="K20" i="70"/>
  <c r="K6" i="22"/>
  <c r="K15" i="26"/>
  <c r="K24" i="22"/>
  <c r="K30" i="22"/>
  <c r="K34" i="22"/>
  <c r="K38" i="22"/>
  <c r="K42" i="22"/>
  <c r="K50" i="22"/>
  <c r="K4" i="23"/>
  <c r="K4" i="77"/>
  <c r="K51" i="69"/>
  <c r="K47" i="69"/>
  <c r="K30" i="26"/>
  <c r="K23" i="32"/>
  <c r="K41" i="32"/>
  <c r="K5" i="5"/>
  <c r="K6" i="5"/>
  <c r="K7" i="5"/>
  <c r="K8" i="5"/>
  <c r="K9" i="5"/>
  <c r="K10" i="5"/>
  <c r="K11" i="5"/>
  <c r="K12" i="5"/>
  <c r="K13" i="5"/>
  <c r="K14" i="5"/>
  <c r="K17" i="5"/>
  <c r="K18" i="5"/>
  <c r="K19" i="5"/>
  <c r="K20" i="5"/>
  <c r="K21" i="5"/>
  <c r="K24" i="5"/>
  <c r="K25" i="5"/>
  <c r="K28" i="5"/>
  <c r="K29" i="5"/>
  <c r="K31" i="5"/>
  <c r="K32" i="5"/>
  <c r="K33" i="5"/>
  <c r="K35" i="5"/>
  <c r="K36" i="5"/>
  <c r="K37" i="5"/>
  <c r="K39" i="5"/>
  <c r="K41" i="5"/>
  <c r="K3" i="5"/>
  <c r="D46" i="6"/>
  <c r="K40" i="22"/>
  <c r="K44" i="22"/>
  <c r="K48" i="22"/>
  <c r="K27" i="70"/>
  <c r="K36" i="70"/>
  <c r="K17" i="26"/>
  <c r="K5" i="56"/>
  <c r="K6" i="56"/>
  <c r="K7" i="56"/>
  <c r="K9" i="56"/>
  <c r="K10" i="56"/>
  <c r="K11" i="56"/>
  <c r="K12" i="56"/>
  <c r="K13" i="56"/>
  <c r="K14" i="56"/>
  <c r="K15" i="56"/>
  <c r="K16" i="56"/>
  <c r="K18" i="56"/>
  <c r="K20" i="56"/>
  <c r="K21" i="56"/>
  <c r="K22" i="56"/>
  <c r="K24" i="56"/>
  <c r="K25" i="56"/>
  <c r="K26" i="56"/>
  <c r="K3" i="56"/>
  <c r="K7" i="77"/>
  <c r="K44" i="69"/>
  <c r="K22" i="71"/>
  <c r="K16" i="71"/>
  <c r="K13" i="71"/>
  <c r="K74" i="63"/>
  <c r="K32" i="23"/>
  <c r="K13" i="26"/>
  <c r="K24" i="26"/>
  <c r="K28" i="26"/>
  <c r="K40" i="26"/>
  <c r="K12" i="32"/>
  <c r="K21" i="32"/>
  <c r="K48" i="32"/>
  <c r="K33" i="26"/>
  <c r="K78" i="63"/>
  <c r="K37" i="32"/>
  <c r="K40" i="32"/>
  <c r="K36" i="32"/>
  <c r="K28" i="32"/>
  <c r="K26" i="70"/>
  <c r="K44" i="70"/>
  <c r="K29" i="71"/>
  <c r="K5" i="26"/>
  <c r="K16" i="26"/>
  <c r="K25" i="70"/>
  <c r="K53" i="69"/>
  <c r="K14" i="71"/>
  <c r="K9" i="22"/>
  <c r="K13" i="22"/>
  <c r="K16" i="22"/>
  <c r="K18" i="22"/>
  <c r="K20" i="22"/>
  <c r="K36" i="26"/>
  <c r="K8" i="58"/>
  <c r="K44" i="32"/>
  <c r="K8" i="65"/>
  <c r="K11" i="69"/>
  <c r="K15" i="69"/>
  <c r="K17" i="69"/>
  <c r="K19" i="69"/>
  <c r="K22" i="69"/>
  <c r="K28" i="69"/>
  <c r="K32" i="69"/>
  <c r="K36" i="69"/>
  <c r="K40" i="69"/>
  <c r="K45" i="69"/>
  <c r="K7" i="70"/>
  <c r="K8" i="70"/>
  <c r="K11" i="70"/>
  <c r="K14" i="70"/>
  <c r="K16" i="70"/>
  <c r="K17" i="70"/>
  <c r="K21" i="70"/>
  <c r="K23" i="70"/>
  <c r="K28" i="70"/>
  <c r="K29" i="70"/>
  <c r="K31" i="70"/>
  <c r="K33" i="70"/>
  <c r="K40" i="70"/>
  <c r="K45" i="70"/>
  <c r="K3" i="70"/>
  <c r="K26" i="71"/>
  <c r="K31" i="71"/>
  <c r="K50" i="69"/>
  <c r="K13" i="23"/>
  <c r="K19" i="23"/>
  <c r="K24" i="23"/>
  <c r="K28" i="23"/>
  <c r="K11" i="23"/>
  <c r="K4" i="32"/>
  <c r="K9" i="32"/>
  <c r="K13" i="32"/>
  <c r="K18" i="32"/>
  <c r="K22" i="32"/>
  <c r="K4" i="65"/>
  <c r="K3" i="65"/>
  <c r="D63" i="6"/>
  <c r="K4" i="69"/>
  <c r="K7" i="69"/>
  <c r="K12" i="69"/>
  <c r="K13" i="69"/>
  <c r="K23" i="69"/>
  <c r="K29" i="69"/>
  <c r="K33" i="69"/>
  <c r="K37" i="69"/>
  <c r="K41" i="69"/>
  <c r="K49" i="69"/>
  <c r="K55" i="69"/>
  <c r="K56" i="69"/>
  <c r="K3" i="69"/>
  <c r="D67" i="6"/>
  <c r="K9" i="23"/>
  <c r="K9" i="58"/>
  <c r="K25" i="71"/>
  <c r="K21" i="71"/>
  <c r="K18" i="71"/>
  <c r="K10" i="71"/>
  <c r="K35" i="32"/>
  <c r="K31" i="32"/>
  <c r="K39" i="26"/>
  <c r="K43" i="26"/>
  <c r="K11" i="32"/>
  <c r="K20" i="32"/>
  <c r="K14" i="32"/>
  <c r="K4" i="73"/>
  <c r="K24" i="71"/>
  <c r="K20" i="71"/>
  <c r="K42" i="32"/>
  <c r="K38" i="32"/>
  <c r="K34" i="32"/>
  <c r="K30" i="32"/>
  <c r="K7" i="26"/>
  <c r="K11" i="26"/>
  <c r="K29" i="26"/>
  <c r="K15" i="22"/>
  <c r="K35" i="22"/>
  <c r="K51" i="22"/>
  <c r="K37" i="26"/>
  <c r="K41" i="26"/>
  <c r="K5" i="77"/>
  <c r="K6" i="77"/>
  <c r="K8" i="77"/>
  <c r="K3" i="77"/>
  <c r="D48" i="6"/>
  <c r="K32" i="32"/>
  <c r="K50" i="32"/>
  <c r="K8" i="23"/>
  <c r="K10" i="23"/>
  <c r="K14" i="23"/>
  <c r="K18" i="23"/>
  <c r="K8" i="71"/>
  <c r="K26" i="32"/>
  <c r="K4" i="22"/>
  <c r="K22" i="22"/>
  <c r="K32" i="22"/>
  <c r="K52" i="22"/>
  <c r="K23" i="23"/>
  <c r="K27" i="23"/>
  <c r="K31" i="23"/>
  <c r="K19" i="26"/>
  <c r="K23" i="26"/>
  <c r="K27" i="26"/>
  <c r="K26" i="22"/>
  <c r="K4" i="59"/>
  <c r="K24" i="32"/>
  <c r="K33" i="32"/>
  <c r="K29" i="32"/>
  <c r="G3" i="2"/>
  <c r="K25" i="26"/>
  <c r="K49" i="32"/>
  <c r="K3" i="59"/>
  <c r="K3" i="58"/>
  <c r="D54" i="6"/>
  <c r="K32" i="31"/>
  <c r="K41" i="31"/>
  <c r="K6" i="31"/>
  <c r="K37" i="31"/>
  <c r="K51" i="31"/>
  <c r="K10" i="31"/>
  <c r="K45" i="31"/>
  <c r="H55" i="6"/>
  <c r="L14" i="2"/>
  <c r="I14" i="2"/>
  <c r="I3" i="2"/>
  <c r="J14" i="2"/>
  <c r="F25" i="6"/>
  <c r="H29" i="2"/>
  <c r="C51" i="25"/>
  <c r="B51" i="25"/>
  <c r="E70" i="6"/>
  <c r="B49" i="25"/>
  <c r="B8" i="31"/>
  <c r="E25" i="6"/>
  <c r="C9" i="31"/>
  <c r="H14" i="2"/>
  <c r="B7" i="31"/>
  <c r="C69" i="6"/>
  <c r="C57" i="6"/>
  <c r="C152" i="6"/>
  <c r="D17" i="6"/>
  <c r="C106" i="6"/>
  <c r="C161" i="6"/>
  <c r="C60" i="6"/>
  <c r="C128" i="6"/>
  <c r="C68" i="6"/>
  <c r="C91" i="6"/>
  <c r="C150" i="6"/>
  <c r="C81" i="6"/>
  <c r="C61" i="6"/>
  <c r="D22" i="6"/>
  <c r="C154" i="6"/>
  <c r="C121" i="6"/>
  <c r="D34" i="6"/>
  <c r="C98" i="6"/>
  <c r="C82" i="6"/>
  <c r="D28" i="6"/>
  <c r="D36" i="6"/>
  <c r="D39" i="6"/>
  <c r="D41" i="6"/>
  <c r="D25" i="6"/>
  <c r="D27" i="6"/>
  <c r="D31" i="6"/>
  <c r="C136" i="6"/>
  <c r="C130" i="6"/>
  <c r="D30" i="6"/>
  <c r="C62" i="6"/>
  <c r="C122" i="6"/>
  <c r="D20" i="6"/>
  <c r="D24" i="6"/>
  <c r="D32" i="6"/>
  <c r="D18" i="6"/>
  <c r="D26" i="6"/>
  <c r="C66" i="6"/>
  <c r="D19" i="6"/>
  <c r="D33" i="6"/>
  <c r="D35" i="6"/>
  <c r="D37" i="6"/>
  <c r="D38" i="6"/>
  <c r="D40" i="6"/>
  <c r="D42" i="6"/>
  <c r="D21" i="6"/>
  <c r="D29" i="6"/>
  <c r="E9" i="6"/>
  <c r="I12" i="6"/>
  <c r="F12" i="6"/>
  <c r="C117" i="6"/>
  <c r="F9" i="6"/>
  <c r="G12" i="6"/>
  <c r="D23" i="6"/>
  <c r="H12" i="6"/>
  <c r="C125" i="6"/>
  <c r="C147" i="6"/>
  <c r="H9" i="6"/>
  <c r="I9" i="6"/>
  <c r="C55" i="6"/>
  <c r="K35" i="26"/>
  <c r="K3" i="26"/>
  <c r="D72" i="6"/>
  <c r="K3" i="32"/>
  <c r="D49" i="6"/>
  <c r="K3" i="23"/>
  <c r="D51" i="6"/>
  <c r="K3" i="22"/>
  <c r="D50" i="6"/>
  <c r="K5" i="74"/>
  <c r="K9" i="74"/>
  <c r="K10" i="74"/>
  <c r="K13" i="74"/>
  <c r="K3" i="74"/>
  <c r="D71" i="6"/>
  <c r="C126" i="6"/>
  <c r="C115" i="6"/>
  <c r="C148" i="6"/>
  <c r="C118" i="6"/>
  <c r="K37" i="29"/>
  <c r="K28" i="29"/>
  <c r="K45" i="25"/>
  <c r="C96" i="6"/>
  <c r="C59" i="6"/>
  <c r="C89" i="6"/>
  <c r="K51" i="25"/>
  <c r="C79" i="6"/>
  <c r="C109" i="6"/>
  <c r="C49" i="6"/>
  <c r="K23" i="71"/>
  <c r="K3" i="71"/>
  <c r="D68" i="6"/>
  <c r="C112" i="6"/>
  <c r="C52" i="6"/>
  <c r="C111" i="6"/>
  <c r="K43" i="25"/>
  <c r="K29" i="25"/>
  <c r="C50" i="6"/>
  <c r="C140" i="6"/>
  <c r="C110" i="6"/>
  <c r="C80" i="6"/>
  <c r="C129" i="6"/>
  <c r="C159" i="6"/>
  <c r="C77" i="6"/>
  <c r="C137" i="6"/>
  <c r="C107" i="6"/>
  <c r="C47" i="6"/>
  <c r="K8" i="31"/>
  <c r="K16" i="28"/>
  <c r="K35" i="25"/>
  <c r="C76" i="6"/>
  <c r="K11" i="68"/>
  <c r="K3" i="68"/>
  <c r="D66" i="6"/>
  <c r="C101" i="6"/>
  <c r="C71" i="6"/>
  <c r="C48" i="6"/>
  <c r="C78" i="6"/>
  <c r="K10" i="24"/>
  <c r="K27" i="25"/>
  <c r="K12" i="25"/>
  <c r="C114" i="6"/>
  <c r="C144" i="6"/>
  <c r="K4" i="29"/>
  <c r="K17" i="24"/>
  <c r="K19" i="25"/>
  <c r="C85" i="6"/>
  <c r="C95" i="6"/>
  <c r="C65" i="6"/>
  <c r="K5" i="28"/>
  <c r="K6" i="28"/>
  <c r="K9" i="28"/>
  <c r="K10" i="28"/>
  <c r="K13" i="28"/>
  <c r="K14" i="28"/>
  <c r="K17" i="28"/>
  <c r="K18" i="28"/>
  <c r="K3" i="28"/>
  <c r="K10" i="25"/>
  <c r="J3" i="2"/>
  <c r="K9" i="76"/>
  <c r="K25" i="29"/>
  <c r="K12" i="29"/>
  <c r="K6" i="29"/>
  <c r="K15" i="29"/>
  <c r="K16" i="29"/>
  <c r="K29" i="29"/>
  <c r="K33" i="29"/>
  <c r="K3" i="29"/>
  <c r="D53" i="6"/>
  <c r="K39" i="31"/>
  <c r="K4" i="31"/>
  <c r="K9" i="60"/>
  <c r="K50" i="63"/>
  <c r="K15" i="63"/>
  <c r="K8" i="63"/>
  <c r="K10" i="63"/>
  <c r="K19" i="63"/>
  <c r="K23" i="63"/>
  <c r="K27" i="63"/>
  <c r="K33" i="63"/>
  <c r="K41" i="63"/>
  <c r="K45" i="63"/>
  <c r="K55" i="63"/>
  <c r="K59" i="63"/>
  <c r="K64" i="63"/>
  <c r="K69" i="63"/>
  <c r="K3" i="63"/>
  <c r="D59" i="6"/>
  <c r="K36" i="66"/>
  <c r="K15" i="27"/>
  <c r="K48" i="25"/>
  <c r="K32" i="25"/>
  <c r="K16" i="25"/>
  <c r="K12" i="80"/>
  <c r="K3" i="2"/>
  <c r="K43" i="31"/>
  <c r="K9" i="31"/>
  <c r="K14" i="60"/>
  <c r="K5" i="64"/>
  <c r="K9" i="64"/>
  <c r="K3" i="64"/>
  <c r="D61" i="6"/>
  <c r="K5" i="66"/>
  <c r="K10" i="66"/>
  <c r="K14" i="66"/>
  <c r="K18" i="66"/>
  <c r="K28" i="66"/>
  <c r="K32" i="66"/>
  <c r="K3" i="66"/>
  <c r="D62" i="6"/>
  <c r="K20" i="27"/>
  <c r="K4" i="27"/>
  <c r="K37" i="25"/>
  <c r="K21" i="25"/>
  <c r="K4" i="25"/>
  <c r="K6" i="80"/>
  <c r="K48" i="31"/>
  <c r="K4" i="24"/>
  <c r="K19" i="27"/>
  <c r="K52" i="25"/>
  <c r="K36" i="25"/>
  <c r="K20" i="25"/>
  <c r="K16" i="80"/>
  <c r="K52" i="31"/>
  <c r="K8" i="24"/>
  <c r="K8" i="27"/>
  <c r="K41" i="25"/>
  <c r="K25" i="25"/>
  <c r="K8" i="25"/>
  <c r="K13" i="24"/>
  <c r="K7" i="27"/>
  <c r="K40" i="25"/>
  <c r="K24" i="25"/>
  <c r="K7" i="25"/>
  <c r="K21" i="80"/>
  <c r="K4" i="80"/>
  <c r="K30" i="31"/>
  <c r="K11" i="27"/>
  <c r="K44" i="25"/>
  <c r="K28" i="25"/>
  <c r="K11" i="25"/>
  <c r="K8" i="80"/>
  <c r="K5" i="76"/>
  <c r="K3" i="76"/>
  <c r="D47" i="6"/>
  <c r="K35" i="31"/>
  <c r="K21" i="24"/>
  <c r="K4" i="60"/>
  <c r="K3" i="60"/>
  <c r="D57" i="6"/>
  <c r="K16" i="27"/>
  <c r="K49" i="25"/>
  <c r="K33" i="25"/>
  <c r="K17" i="25"/>
  <c r="L12" i="2"/>
  <c r="L3" i="2"/>
  <c r="C37" i="29"/>
  <c r="H12" i="2"/>
  <c r="E53" i="6"/>
  <c r="E12" i="6"/>
  <c r="D83" i="6"/>
  <c r="D143" i="6"/>
  <c r="B17" i="29"/>
  <c r="D113" i="6"/>
  <c r="B9" i="29"/>
  <c r="C83" i="6"/>
  <c r="C143" i="6"/>
  <c r="C53" i="6"/>
  <c r="C20" i="29"/>
  <c r="B20" i="29"/>
  <c r="G9" i="6"/>
  <c r="H3" i="2"/>
  <c r="C52" i="25"/>
  <c r="B52" i="25"/>
  <c r="C10" i="31"/>
  <c r="B9" i="31"/>
  <c r="C11" i="31"/>
  <c r="B11" i="31"/>
  <c r="D9" i="6"/>
  <c r="K3" i="24"/>
  <c r="D56" i="6"/>
  <c r="K3" i="27"/>
  <c r="D64" i="6"/>
  <c r="K3" i="80"/>
  <c r="K3" i="31"/>
  <c r="D55" i="6"/>
  <c r="K3" i="25"/>
  <c r="D70" i="6"/>
  <c r="C22" i="29"/>
  <c r="B22" i="29"/>
  <c r="D12" i="6"/>
  <c r="G6" i="6" s="1"/>
  <c r="C21" i="29"/>
  <c r="C13" i="31"/>
  <c r="B13" i="31"/>
  <c r="C14" i="31"/>
  <c r="B14" i="31"/>
  <c r="B10" i="31"/>
  <c r="C24" i="29"/>
  <c r="B24" i="29"/>
  <c r="B21" i="29"/>
  <c r="C23" i="29"/>
  <c r="C15" i="31"/>
  <c r="C25" i="29"/>
  <c r="B23" i="29"/>
  <c r="C16" i="31"/>
  <c r="B16" i="31"/>
  <c r="B15" i="31"/>
  <c r="C17" i="31"/>
  <c r="C26" i="29"/>
  <c r="B26" i="29"/>
  <c r="B25" i="29"/>
  <c r="C27" i="29"/>
  <c r="B27" i="29"/>
  <c r="B17" i="31"/>
  <c r="C18" i="31"/>
  <c r="C28" i="29"/>
  <c r="B18" i="31"/>
  <c r="C19" i="31"/>
  <c r="B28" i="29"/>
  <c r="C29" i="29"/>
  <c r="B29" i="29"/>
  <c r="C30" i="29"/>
  <c r="B19" i="31"/>
  <c r="C20" i="31"/>
  <c r="B30" i="29"/>
  <c r="C31" i="29"/>
  <c r="B20" i="31"/>
  <c r="C21" i="31"/>
  <c r="B31" i="29"/>
  <c r="C32" i="29"/>
  <c r="B21" i="31"/>
  <c r="C22" i="31"/>
  <c r="B32" i="29"/>
  <c r="C33" i="29"/>
  <c r="B22" i="31"/>
  <c r="C23" i="31"/>
  <c r="B33" i="29"/>
  <c r="C34" i="29"/>
  <c r="B23" i="31"/>
  <c r="C24" i="31"/>
  <c r="B34" i="29"/>
  <c r="B24" i="31"/>
  <c r="C25" i="31"/>
  <c r="B35" i="29"/>
  <c r="B37" i="29"/>
  <c r="B25" i="31"/>
  <c r="C26" i="31"/>
  <c r="B26" i="31"/>
  <c r="C27" i="31"/>
  <c r="B27" i="31"/>
  <c r="C28" i="31"/>
  <c r="B28" i="31"/>
  <c r="C30" i="31"/>
  <c r="B30" i="31"/>
  <c r="C31" i="31"/>
  <c r="B31" i="31"/>
  <c r="C32" i="31"/>
  <c r="B32" i="31"/>
  <c r="C33" i="31"/>
  <c r="B33" i="31"/>
  <c r="C35" i="31"/>
  <c r="B35" i="31"/>
  <c r="C36" i="31"/>
  <c r="B36" i="31"/>
  <c r="C37" i="31"/>
  <c r="B37" i="31"/>
  <c r="C38" i="31"/>
  <c r="B38" i="31"/>
  <c r="C39" i="31"/>
  <c r="B39" i="31"/>
  <c r="C40" i="31"/>
  <c r="B40" i="31"/>
  <c r="C41" i="31"/>
  <c r="B41" i="31"/>
  <c r="C42" i="31"/>
  <c r="B42" i="31"/>
  <c r="C43" i="31"/>
  <c r="B43" i="31"/>
  <c r="C45" i="31"/>
  <c r="B45" i="31"/>
  <c r="C46" i="31"/>
  <c r="B46" i="31"/>
  <c r="C47" i="31"/>
  <c r="B47" i="31"/>
  <c r="C48" i="31"/>
  <c r="B48" i="31"/>
  <c r="C49" i="31"/>
  <c r="B49" i="31"/>
  <c r="C50" i="31"/>
  <c r="B50" i="31"/>
  <c r="C51" i="31"/>
  <c r="B51" i="31"/>
  <c r="C52" i="31"/>
  <c r="B52" i="31"/>
  <c r="D45" i="6" l="1"/>
</calcChain>
</file>

<file path=xl/sharedStrings.xml><?xml version="1.0" encoding="utf-8"?>
<sst xmlns="http://schemas.openxmlformats.org/spreadsheetml/2006/main" count="4473" uniqueCount="1282">
  <si>
    <t>Proposal Evaluation Summary</t>
  </si>
  <si>
    <t>Vendor Name:</t>
  </si>
  <si>
    <t>Date:</t>
  </si>
  <si>
    <t>Total Interfaces Specification Score</t>
  </si>
  <si>
    <t>System</t>
  </si>
  <si>
    <t>Category</t>
  </si>
  <si>
    <t>Maximum Score</t>
  </si>
  <si>
    <t>Number of Requirements</t>
  </si>
  <si>
    <t>Not Answered</t>
  </si>
  <si>
    <t>Crucial</t>
  </si>
  <si>
    <t>Important</t>
  </si>
  <si>
    <t>Minimal</t>
  </si>
  <si>
    <t>ALL</t>
  </si>
  <si>
    <t>ALL CATEGORIES</t>
  </si>
  <si>
    <t>Score</t>
  </si>
  <si>
    <t>Function Available</t>
  </si>
  <si>
    <t>Function Not Available</t>
  </si>
  <si>
    <t>Exception</t>
  </si>
  <si>
    <t>INTERFACES</t>
  </si>
  <si>
    <t>Number of Crucial</t>
  </si>
  <si>
    <t>Crucial - Not Answered</t>
  </si>
  <si>
    <t>Crucial - Function Available</t>
  </si>
  <si>
    <t>Crucial - Function Not Available</t>
  </si>
  <si>
    <t>Crucial - Exception</t>
  </si>
  <si>
    <t>Number of Important</t>
  </si>
  <si>
    <t>Important - Not Answered</t>
  </si>
  <si>
    <t>Important - Function Available</t>
  </si>
  <si>
    <t>Important - Function Not Available</t>
  </si>
  <si>
    <t>Important - Exception</t>
  </si>
  <si>
    <t>Number of Minimal</t>
  </si>
  <si>
    <t>Minimal - Not Answered</t>
  </si>
  <si>
    <t>Minimal - Function Available</t>
  </si>
  <si>
    <t>Minimal - Function Not Available</t>
  </si>
  <si>
    <t>Minimal - Exception</t>
  </si>
  <si>
    <t>Drop Down Definitions</t>
  </si>
  <si>
    <t>Worksheet</t>
  </si>
  <si>
    <t>Sheets</t>
  </si>
  <si>
    <t>Items</t>
  </si>
  <si>
    <t>Workbook Total Master Interfaces Specs</t>
  </si>
  <si>
    <t>Specification Type</t>
  </si>
  <si>
    <t>Weight</t>
  </si>
  <si>
    <t>N/A</t>
  </si>
  <si>
    <t>Availability</t>
  </si>
  <si>
    <t>Select From Drop Down</t>
  </si>
  <si>
    <t>Spec
ID</t>
  </si>
  <si>
    <t>Spec Number</t>
  </si>
  <si>
    <t>Importance</t>
  </si>
  <si>
    <t>Description of Capability
CAD Interface General Requirements</t>
  </si>
  <si>
    <t>Descriptions</t>
  </si>
  <si>
    <t>Summary</t>
  </si>
  <si>
    <t>Spec Weight</t>
  </si>
  <si>
    <t>Avail Weight</t>
  </si>
  <si>
    <t>Review Comments</t>
  </si>
  <si>
    <t>CAD Interface General Requirements</t>
  </si>
  <si>
    <t>Total</t>
  </si>
  <si>
    <t>Total Score -&gt;</t>
  </si>
  <si>
    <t>IGen</t>
  </si>
  <si>
    <t>The system interfaces with a Mobile Data System.</t>
  </si>
  <si>
    <t>Total Not Answered</t>
  </si>
  <si>
    <t>The system interfaces with a Law Enforcement Records Management System (LERMS).</t>
  </si>
  <si>
    <t>Total Available</t>
  </si>
  <si>
    <t>The system interfaces with Fire Records Management System (FRMS).</t>
  </si>
  <si>
    <t>Total Not Available</t>
  </si>
  <si>
    <t>The system interfaces with a Jail Management System (JMS).</t>
  </si>
  <si>
    <t>Total Exception</t>
  </si>
  <si>
    <t>The system interfaces with a Courts Records system.</t>
  </si>
  <si>
    <t>Total Crucial &amp; Not Answered</t>
  </si>
  <si>
    <t>The system interfaces to Master Clock hardware for time synchronization.</t>
  </si>
  <si>
    <t>Total Crucial &amp; Function Available</t>
  </si>
  <si>
    <t>The system interfaces to E9-1-1 telephone system and answering positions.</t>
  </si>
  <si>
    <t>Total Crucial &amp; Function Not Available</t>
  </si>
  <si>
    <t>The system is capable of an interface to a third party Automatic Vehicle Location (AVL) system.</t>
  </si>
  <si>
    <t>Total Crucial &amp; Exception</t>
  </si>
  <si>
    <t>The system interfaces with an ePCR system.</t>
  </si>
  <si>
    <t>Total Important &amp; Not Answered</t>
  </si>
  <si>
    <t>The system interfaces and can send data to a regional law enforcement database.</t>
  </si>
  <si>
    <t>Total Important &amp; Function Available</t>
  </si>
  <si>
    <t>The system interfaces to 9-1-1 answering position Telecommunications Device for the Deaf  / TeleTypewriter (TDD / TTY).</t>
  </si>
  <si>
    <t>Total Important &amp; Function Not Available</t>
  </si>
  <si>
    <t>The system interfaces to logging recorder.</t>
  </si>
  <si>
    <t>Total Important &amp; Exception</t>
  </si>
  <si>
    <t>The system provides direct interaction with the State Crime Information  network/NCIC/NLETS (e.g. METER, CLEAN, LEADS).</t>
  </si>
  <si>
    <t>Total Minimal &amp; Not Answered</t>
  </si>
  <si>
    <t>The system interfaces with an alpha-numeric paging system.</t>
  </si>
  <si>
    <t>Total Minimal &amp; Function Available</t>
  </si>
  <si>
    <t>The system interfaces with a text messaging system.</t>
  </si>
  <si>
    <t>Total Minimal &amp; Function Not Available</t>
  </si>
  <si>
    <t>The system interfaces with an email server for the purpose of sending / receiving email.</t>
  </si>
  <si>
    <t>Total Minimal &amp; Exception</t>
  </si>
  <si>
    <t>The system integrates with commonly available calendar applications (e.g. Microsoft Outlook).</t>
  </si>
  <si>
    <t>The system interfaces with an EOC Crisis Management Software (e.g., WebEOC, Knowledge Center)</t>
  </si>
  <si>
    <t>The system interfaces with Emergency Medical Dispatch (EMD) software (e.g. ProQA, APCO, PowerPhone).</t>
  </si>
  <si>
    <t>The system provides remote access to authorized users via VPN.</t>
  </si>
  <si>
    <t>The system interfaces with the EPA's Computer Aided Management of Emergency Operations (CAMEO) software suite.</t>
  </si>
  <si>
    <t>The system interfaces to a radio console to receive radio system status messaging and translate those messages to CAD status changes (e.g. Motorola, Harris).</t>
  </si>
  <si>
    <t>The system interfaces with an electronic facsimile (FAX) software.</t>
  </si>
  <si>
    <t>The system interfaces with a public emergency notification system (e.g. Reverse911, Everbridge, Red Alert).</t>
  </si>
  <si>
    <t>The system supports two-way communications between several different CAD systems, i.e., between Vendor A to Vendor B.</t>
  </si>
  <si>
    <t>The system supports two-way communications between several of the vendor's own CAD systems, i.e., between Vendor A and Vendor A.</t>
  </si>
  <si>
    <t xml:space="preserve">The system provides a two way interface with third party staffing and scheduling application (e.g. TeleStaff™, Orion, Executine, VCS FIRES) . </t>
  </si>
  <si>
    <t>The system supports an interface to a third party forms creation application.</t>
  </si>
  <si>
    <t xml:space="preserve">The system supports an interface to an electronic ticketing application.  (e.g. eCitation, APC) </t>
  </si>
  <si>
    <t>The system supports an interface to a third party crime analysis application.</t>
  </si>
  <si>
    <t>The system supports an interface to a third party situational awareness application (e.g. First Watch).</t>
  </si>
  <si>
    <t>The system supports an interface to a third party on scene incident command scene software application (e.g. FieldSoft, AIMSOnScene).</t>
  </si>
  <si>
    <t xml:space="preserve">The system supports an interface with third-party LiveScan hardware and software. </t>
  </si>
  <si>
    <t>The system is capable of a two way interface to an Alarm Company (e.g. ADT, Guardian) via Automated Secure Alarm Protocol (ASAP).</t>
  </si>
  <si>
    <t>The system is capable of interfacing to an alarm receiver (e.g. Silent Knight, Keltron)</t>
  </si>
  <si>
    <t>An open source API is provided to facilitate the development of communication with any 3rd party applications and the CAD.</t>
  </si>
  <si>
    <t>Description of Capability
CAD Interface Alarm Monitoring</t>
  </si>
  <si>
    <t>CAD Interface Alarm Monitoring</t>
  </si>
  <si>
    <t>IAlm</t>
  </si>
  <si>
    <t>The system supports External Alarm Interface Exchange (EAIE) transaction with pre-approved Alarm Monitoring Companies.</t>
  </si>
  <si>
    <t>Location data received through the EAIE transaction will be subject to location validation process.</t>
  </si>
  <si>
    <t>Alarm Monitoring process adheres to the Alarm Monitoring Company to PSAP CAD External Alarm Interface Exchange 2.101.1‐2008, Version 3.0.</t>
  </si>
  <si>
    <t>Successful receipt and validation of the alarm transaction data will generate a CAD call for service.</t>
  </si>
  <si>
    <t>The system is capable of bi-directional communications between the PSAP and the Alarm Company.</t>
  </si>
  <si>
    <t>The system is capable of triggering updates to the event from CAD to the alarm company.</t>
  </si>
  <si>
    <t>The system is capable of processing updates to the transaction from the sending alarm company to the PSAP. (e.g. keyholder notified)</t>
  </si>
  <si>
    <t>Rules governing the triggering of events are established by an agency authorized user.</t>
  </si>
  <si>
    <t>Acceptance of the EAIE transaction and updates from the alarm company is at the discretion of the user.</t>
  </si>
  <si>
    <t>Description of Capability
CAD Interface Alarm Tracking and Billing</t>
  </si>
  <si>
    <t>CAD Interface Alarm Tracking and Billing</t>
  </si>
  <si>
    <t>The system supports a two way interface to Cry Wolf Alarm Tracking and Billing module.</t>
  </si>
  <si>
    <t>The system provides a vendor provided integrated Alarm Tracking and Billing module.</t>
  </si>
  <si>
    <t>The Alarm Tracking and Billing module is integrated with CAD.</t>
  </si>
  <si>
    <t>The system will automatically transfer CAD incident data to the Cry Wolf Alarm and Billing module as determined by the agency.</t>
  </si>
  <si>
    <t>The Cry Wolf Alarm Tracking and Billing module is accessible from CAD.</t>
  </si>
  <si>
    <t>Keyholder information in the Cry Wolf alarm billing application will be available to the CAD users.</t>
  </si>
  <si>
    <t>Special alarm statuses in the Cry Wolf alarm billing application will be available for viewing in CAD (e.g. do not respond orders).</t>
  </si>
  <si>
    <t>Alarm records in the Cry Wolf application can be transferred to the premise information file in CAD.</t>
  </si>
  <si>
    <t>Description of Capability
CAD Interface Alerting</t>
  </si>
  <si>
    <t>CAD Interface Alerting</t>
  </si>
  <si>
    <t>ITone</t>
  </si>
  <si>
    <t>The tone alert interface can be sent automatically based on the following:</t>
  </si>
  <si>
    <t>event type</t>
  </si>
  <si>
    <t>units dispatched</t>
  </si>
  <si>
    <t>station due</t>
  </si>
  <si>
    <t>any combination of the above conditions.</t>
  </si>
  <si>
    <t>The tone alerting interface requires some type of user interaction prior to sending tones so the dispatcher can make the determination to send the tones or not.</t>
  </si>
  <si>
    <t>The Tone Alerting interface allows the tone encoding of a unit from the command line, e.g., "ENCODE ENG1".</t>
  </si>
  <si>
    <t>The Tone Alerting interface recognizes recommended multiple units with identical tones (such as multiple units from a single station) and only sends a single set of tones for those units.</t>
  </si>
  <si>
    <t>The tone alerting interface provides the capability for tone signaling to initiate and monitor the paging progress for call notification of responding personnel.</t>
  </si>
  <si>
    <t>The system provides a method to allow the training module to simulate the function of the tone alerting interface, providing feedback but not actually performing activations.</t>
  </si>
  <si>
    <t>The tone alerting interface capable of operation in live, test and training modes simultaneously.</t>
  </si>
  <si>
    <t>The tone encoding interface does not require a dedicated radio console(s).</t>
  </si>
  <si>
    <t xml:space="preserve">The interface will only send a unique value once for each dispatch (e.g. if 5 units from the same Station are sent on a structure fire then the interface will only send the tones or set of tones once for the station; it will not send 5 of the same tones). </t>
  </si>
  <si>
    <t xml:space="preserve">The interface solution allows the encoding of tones over different resources simultaneously by two distinct dispatchers (e.g. Fire over fire channel, Rescue over rescue channel). </t>
  </si>
  <si>
    <t>The radio tone alerting interface can be configured to send tones over multiple resources (fire dispatch, EMS dispatch, etc.)</t>
  </si>
  <si>
    <t>The system allows tones to be stacked under the unit or station configuration within the CAD application (e.g. siren, pager, etc.).</t>
  </si>
  <si>
    <t>The system interfaces in a manner that allows station or unit tones stacked within the radio console to be used (e.g. button numbers).</t>
  </si>
  <si>
    <t>The tone alerting interface solution allows tones to be sent from any dispatch workstation working the fire discipline and/or controlling fire units.</t>
  </si>
  <si>
    <t>The system provides a means to re-tone units or stations.</t>
  </si>
  <si>
    <t>The system allows dispatchers to add units to an event without sending encoder tones.</t>
  </si>
  <si>
    <t>CAD Interface Station Alerting</t>
  </si>
  <si>
    <t>The primary connectivity to the fire stations is Ethernet.</t>
  </si>
  <si>
    <t xml:space="preserve">In the event of a lost CAD connection to the alerting solution there is a method to manually dispatch the stations with no delay.  </t>
  </si>
  <si>
    <t>The system allows the radio interface controller (RIC) as a back-up or secondary connection option to the fire station.</t>
  </si>
  <si>
    <t>System must integrate with automated dispatching technology that utilizes automated voice to dispatch CAD call/event data.</t>
  </si>
  <si>
    <t>Support "text to voice" feature.</t>
  </si>
  <si>
    <t>The proposed solution shall be capable of providing manual non-emergency messages to a station or group of stations from the CAD system.</t>
  </si>
  <si>
    <t>The proposed station alerting solution shall have the capability, for any event, to create audible dispatch alerts that announce simultaneously in multiple stations.</t>
  </si>
  <si>
    <t xml:space="preserve">The station alerting solution shall include a dispatch acknowledgment device via CAD . </t>
  </si>
  <si>
    <t xml:space="preserve">The station alerting solution shall be able to alert mobile data computers without holding off dispatch radio resources. </t>
  </si>
  <si>
    <t>Audible alerts at stations shall start not more than two seconds after the alerting system receives a request from the CAD system.</t>
  </si>
  <si>
    <t>The system should support the fire station alerting automated voice announcements.</t>
  </si>
  <si>
    <t>A visual indication shall be provided to dispatchers to indicate whether the system is ready, or not ready, for automated voice dispatch.</t>
  </si>
  <si>
    <t xml:space="preserve">The CAD system provides sufficient data to the station alerting system to provide pre-announcement information that includes audible alerts, resource assignment, event type and  box number.    </t>
  </si>
  <si>
    <t xml:space="preserve">The announcement is generated based on user defined triggers in the CAD system. </t>
  </si>
  <si>
    <t>The user defined triggers to send information to the fire station alerting, include but are not limited to:</t>
  </si>
  <si>
    <t xml:space="preserve">Dispatcher views recommended units </t>
  </si>
  <si>
    <t>Units dispatched in CAD</t>
  </si>
  <si>
    <t>Dispatch button</t>
  </si>
  <si>
    <t>Manual command</t>
  </si>
  <si>
    <t>All dispatch positions assigned duties with the Fire and Rescue discipline must have access to all station alerting features, to monitor station conditions and to dispatch units.</t>
  </si>
  <si>
    <t>The fire station alerting interface allows the alerting of a station from the command line, e.g., "ALERT ENG1".</t>
  </si>
  <si>
    <t>Description of Capability
CAD Interface Alphanumeric / Text Paging</t>
  </si>
  <si>
    <t>CAD Interface Alphanumeric / Text Paging</t>
  </si>
  <si>
    <t>IAlphaP</t>
  </si>
  <si>
    <t>The system interfaces with internet-based alphanumeric/text paging system(s) (e.g. CodeMessaging.net, PageGate).</t>
  </si>
  <si>
    <t>The system supports alphanumeric / text paging based on the following:</t>
  </si>
  <si>
    <t>event status</t>
  </si>
  <si>
    <t>priority</t>
  </si>
  <si>
    <t>stations</t>
  </si>
  <si>
    <t>units</t>
  </si>
  <si>
    <t>agency</t>
  </si>
  <si>
    <t>task force</t>
  </si>
  <si>
    <t>groups</t>
  </si>
  <si>
    <t xml:space="preserve">The data contained in the alphanumeric / text page includes: </t>
  </si>
  <si>
    <t>CAD event number</t>
  </si>
  <si>
    <t>incident type</t>
  </si>
  <si>
    <t>location</t>
  </si>
  <si>
    <t>common place name, if exists</t>
  </si>
  <si>
    <t>community / municipality</t>
  </si>
  <si>
    <t>neighborhood / towns</t>
  </si>
  <si>
    <t>narrative</t>
  </si>
  <si>
    <t>The format of the alphanumeric / text page is user configurable.</t>
  </si>
  <si>
    <t>The alphanumeric / text paging system supports paging to groups.</t>
  </si>
  <si>
    <t>The system supports sending updates based on event status including, but not limited to:</t>
  </si>
  <si>
    <t>dispatch</t>
  </si>
  <si>
    <t>on-scene</t>
  </si>
  <si>
    <t>location changes</t>
  </si>
  <si>
    <t>event updates (e.g. working fires, smoke showing)</t>
  </si>
  <si>
    <t>recall (cancellation)</t>
  </si>
  <si>
    <t>The system supports alphanumeric / text paging from the command line.</t>
  </si>
  <si>
    <t>The system supports alphanumeric / text paging by employee ID.</t>
  </si>
  <si>
    <t>The system supports alphanumeric / text paging by unit ID.</t>
  </si>
  <si>
    <t>The system supports alphanumeric / text paging using pre-programmed text.</t>
  </si>
  <si>
    <t>The system supports alphanumeric / text paging using free text.</t>
  </si>
  <si>
    <t>The system supports alphanumeric / text paging to all units of an event.</t>
  </si>
  <si>
    <t>The system supports alphanumeric / text paging to emergency contacts.</t>
  </si>
  <si>
    <t>The system supports alphanumeric / text paging to records in the dialer files.</t>
  </si>
  <si>
    <t>The system supports creating alphanumeric / text page groups based on call type, by municipality.</t>
  </si>
  <si>
    <t>The system logs all paging activity with the associated event.</t>
  </si>
  <si>
    <t>The system supports the delivery of the alphanumeric / text page to a fax device.</t>
  </si>
  <si>
    <t>The system supports the delivery of the alphanumeric / text page in the form of an e-mail message.</t>
  </si>
  <si>
    <t>The system supports the delivery of the alphanumeric / text page in the form of a text message to a cell phone enabled for text messaging.</t>
  </si>
  <si>
    <t>The system supports the delivery of the alphanumeric / text page in the form of a message to a Blackberry or other PDA-type device.</t>
  </si>
  <si>
    <t>The system supports the TAP protocol.</t>
  </si>
  <si>
    <t>The system supports SMS protocol.</t>
  </si>
  <si>
    <t>The system supports SMTP protocol.</t>
  </si>
  <si>
    <t>The system allows for a CAD-initiated page to require an acknowledgement.</t>
  </si>
  <si>
    <t>The interface provides the ability to define multiple vendors that provide paging services (e.g., USA Mobility, Verizon, AT&amp;T, etc.)</t>
  </si>
  <si>
    <t>The system allows a minimum of 160 characters for text paging.</t>
  </si>
  <si>
    <t>Description of Capability
CAD Interfaces AVL</t>
  </si>
  <si>
    <t>CAD Interface AVL</t>
  </si>
  <si>
    <t>IAVL</t>
  </si>
  <si>
    <t>The system provides an Automatic Vehicle Location (AVL) system that is tightly integrated with the mobile data system.</t>
  </si>
  <si>
    <t>The AVL functionality is fully integrated in the CAD system.</t>
  </si>
  <si>
    <t>The system will display the unit location provided through AVL on the appropriate workstation map.</t>
  </si>
  <si>
    <t>The system allows an authorized user to determine the AVL location update frequency in CAD.</t>
  </si>
  <si>
    <t>The system allows an authorized user to determine the AVL location update frequency for Mobile.</t>
  </si>
  <si>
    <t>The system allows the system to have separate location update frequencies for CAD and Mobile.</t>
  </si>
  <si>
    <t>The system provides a historic playback function by unit/mobile device.</t>
  </si>
  <si>
    <t>The system provides a historic playback function by event.</t>
  </si>
  <si>
    <t>The system provides a historic playback based on start and end date and time range.</t>
  </si>
  <si>
    <t xml:space="preserve">The system provides an AVL Analytic module capable of AVL related reporting functions (e.g. daily logs, response time analysis, time of day response analysis, etc.) </t>
  </si>
  <si>
    <t>The system can use the AVL location data to determine response recommendations.</t>
  </si>
  <si>
    <t>The system can use the AVL location data to determine routing recommendations.</t>
  </si>
  <si>
    <t>The system will indicate on the unit status display if a unit is actively reporting AVL location data.</t>
  </si>
  <si>
    <t>The AVL can be turned off by an authorized user.</t>
  </si>
  <si>
    <t>The AVL system does not impact CAD and mobile real time operations.</t>
  </si>
  <si>
    <t>The presentation of AVL data can be viewed in CAD.</t>
  </si>
  <si>
    <t>The presentation of AVL data can be viewed in Mobile Data Devices</t>
  </si>
  <si>
    <t>The presentation of AVL data can be filtered by:</t>
  </si>
  <si>
    <t>on CAD</t>
  </si>
  <si>
    <t>on Mobile Data Devices</t>
  </si>
  <si>
    <t>Unit</t>
  </si>
  <si>
    <t>Event</t>
  </si>
  <si>
    <t>Discipline</t>
  </si>
  <si>
    <t>Response Area</t>
  </si>
  <si>
    <t>Agency</t>
  </si>
  <si>
    <t>Station</t>
  </si>
  <si>
    <t>AVL data integrates and provides location data necessary for routing related to turn by turn direction capabilities.</t>
  </si>
  <si>
    <t>Ability to translate latitude/longitude data provided by AVL and converting it to the closest available street address when entering a self-initiated event from a mobile device.</t>
  </si>
  <si>
    <t xml:space="preserve">Ability to translate latitude/longitude data provided by AVL and converting it to the closest available intersection when entering a self-initiated event from a mobile device. </t>
  </si>
  <si>
    <t>Description of Capability
CAD Interface Bar-Coding</t>
  </si>
  <si>
    <t>CAD Interface Bar-Coding</t>
  </si>
  <si>
    <t>IBarC</t>
  </si>
  <si>
    <t>System is capable of expansion to accommodate potential for future additional scanners, printers, property intake locations, etc.</t>
  </si>
  <si>
    <t>The system utilizes bar code interface with the Fixed Asset, distributed property, and inventory modules of the selected FRMS system.</t>
  </si>
  <si>
    <t>The system generates bar code labels when checking in evidence/property (fire investigations module).</t>
  </si>
  <si>
    <t>The system is able to use portable/wireless bar code scanner to update evidence/property locations and upload results into main database.</t>
  </si>
  <si>
    <t>The system is able to upload data from hand-held scanner via cradle mechanism.</t>
  </si>
  <si>
    <t>The system is able to upload data from hand-held scanner via wireless system access.</t>
  </si>
  <si>
    <t>The system is able to generate bar code labels in the field.</t>
  </si>
  <si>
    <t>The system is able to complete/maintain inventory with bar code system.</t>
  </si>
  <si>
    <t>Bar code labels recommended are smear-proof.</t>
  </si>
  <si>
    <t>Bar code labels recommended are of significant strength as to resist wear and ripping.</t>
  </si>
  <si>
    <t>The system is able to print page(s) of bar code labels to apply to property/evidence in the field.</t>
  </si>
  <si>
    <t>The system is able to use paper (or equivalent) bar code labels.</t>
  </si>
  <si>
    <t>The system is able to use 3 dimensional bar code tags.</t>
  </si>
  <si>
    <t>The barcode module is able to print barcodes for:</t>
  </si>
  <si>
    <t>FDID</t>
  </si>
  <si>
    <t>Officer</t>
  </si>
  <si>
    <t>Disposition</t>
  </si>
  <si>
    <t>Receiving and Release Status</t>
  </si>
  <si>
    <t>Locations</t>
  </si>
  <si>
    <t>The barcode module prints location labels by specific location or by range.</t>
  </si>
  <si>
    <t>The barcode module is able to produce labels in agency-defined label height, width and font size.</t>
  </si>
  <si>
    <t>The barcode module is able to print individual labels.</t>
  </si>
  <si>
    <t>The barcode module is able to automatically generate tag numbers.</t>
  </si>
  <si>
    <t>The barcode module automatically enters a transaction when a tag is scanned.</t>
  </si>
  <si>
    <t>Description of Capability
CAD Interface Dynamic Radio Re-Grouping</t>
  </si>
  <si>
    <t>CAD Interface Dynamic Radio Re-Grouping</t>
  </si>
  <si>
    <t>IReg</t>
  </si>
  <si>
    <t>The system works in conjunction with the existing radio system, in such a way as to automatically create a radio talk group based on the units dispatched on any given call/event.</t>
  </si>
  <si>
    <t>The system assigns radio talk group from fixed pool of available groups and note that group in a field on the CAD incident screen.</t>
  </si>
  <si>
    <t>The system allows an authorized user define and to apply talk group to single unit dispatches / call. (i.e. Ability to turn feature on and off).</t>
  </si>
  <si>
    <t>The system allows an authorized user to turn the radio re-grouping feature on and off.</t>
  </si>
  <si>
    <t>The system allows for an emergency alert from portable and mobile radio units to initiate a visual notification similar to that of a MDD emergency alert on all CAD screens.</t>
  </si>
  <si>
    <t>Emergency alert information should include radio number and assigned position.</t>
  </si>
  <si>
    <t>Description of Capability
CAD Interface CAD2CAD</t>
  </si>
  <si>
    <t>CAD Interface CAD2CAD</t>
  </si>
  <si>
    <t>IC2C</t>
  </si>
  <si>
    <t>The system is capable of interfacing with multiple CAD systems for the purpose of CAD-to-CAD functionality (e.g. surrounding Counties).</t>
  </si>
  <si>
    <t>CAD2CAD Interface Other Agency</t>
  </si>
  <si>
    <t xml:space="preserve">Ability to provide a two-way interface with other local agency's CAD system.  </t>
  </si>
  <si>
    <t>The system will provide the ability for CAD events to:</t>
  </si>
  <si>
    <t>Create events</t>
  </si>
  <si>
    <t>Share events</t>
  </si>
  <si>
    <t>Transfer events</t>
  </si>
  <si>
    <t>The system will provide the ability to:</t>
  </si>
  <si>
    <t>Create narrative</t>
  </si>
  <si>
    <t>Share narrative</t>
  </si>
  <si>
    <t>Transfer narrative</t>
  </si>
  <si>
    <t>Add to narrative</t>
  </si>
  <si>
    <t>The system will provide the ability for each to see each others units and current status for situational awareness.</t>
  </si>
  <si>
    <t>The system will provide the ability to share and view BOLOs.</t>
  </si>
  <si>
    <t>The system will provide messaging between:</t>
  </si>
  <si>
    <t>Unit to Unit</t>
  </si>
  <si>
    <t>CAD to CAD</t>
  </si>
  <si>
    <t>CAD to Unit</t>
  </si>
  <si>
    <t>Unit to CAD</t>
  </si>
  <si>
    <t>The system provides the ability to share premise hazard notes.</t>
  </si>
  <si>
    <t>The system provides the ability to interface to the participating agency's RMS for the purpose of data sharing via inquiry (e.g master name, warrants, vehicles).</t>
  </si>
  <si>
    <t>The system provides the ability for the PSAP to capture ANI/ALI data in an event and send that event to other CAD systems.</t>
  </si>
  <si>
    <t xml:space="preserve">The system provides the ability to create events for each other and send those events to pending call queues.  </t>
  </si>
  <si>
    <t>The system has the ability to send requests for service to each participating CAD agency.</t>
  </si>
  <si>
    <t>The system has the ability to monitor availability of each others units and special equipment.</t>
  </si>
  <si>
    <t>The system has the ability to log interagency communications in CAD audit files.</t>
  </si>
  <si>
    <t>The system has the ability to take into account the unit status of each others units when recommending appropriate units for dispatch.</t>
  </si>
  <si>
    <t>The system has the ability to take into account unit location of each others units when recommending appropriate units for dispatch.</t>
  </si>
  <si>
    <t>The system has the ability to define agency-specific business rules for the handling of CAD-to-CAD messages.</t>
  </si>
  <si>
    <t xml:space="preserve">The system has the ability to integrate AVL data of units from hospitals (e.g. ambulances) onto the CAD map. </t>
  </si>
  <si>
    <t>Description of Capability
CAD Interface LiveScan Module</t>
  </si>
  <si>
    <t>CAD Interface Dynamic LiveScan Module</t>
  </si>
  <si>
    <t>CLScanI</t>
  </si>
  <si>
    <t>The system supports communication between LERMS and third-party LiveScan hardware and software (e.g. Identix, CrossMatch, MorphoTrak, 3M Cogent, ID Networks, Synergistic-Identix).</t>
  </si>
  <si>
    <t xml:space="preserve">The system interfaces with Crossmatch hardware and software. </t>
  </si>
  <si>
    <t xml:space="preserve">The system interfaces with 3M Cogent hardware and software. </t>
  </si>
  <si>
    <t>The system is able to utilize interoperability to facilitate the sharing of data between LERMS and the LiveScan application (two-way communications).</t>
  </si>
  <si>
    <t xml:space="preserve">The system is able to determine exactly which booking and master file name data elements are exported to the LiveScan software. </t>
  </si>
  <si>
    <t>An authorized user is able to start and stop the LiveScan interface without affecting CAD or other system modules.</t>
  </si>
  <si>
    <t>The system is capable of sending LiveScan records to other applicable regional database(s).</t>
  </si>
  <si>
    <t>Description of Capability
CAD Interfaces Dispatch Protocol Software</t>
  </si>
  <si>
    <t>CAD Dispatch Protocol Software</t>
  </si>
  <si>
    <t>IEMD</t>
  </si>
  <si>
    <t>The system provides a two-way (bi-directional) CAD - dispatch protocol interface.</t>
  </si>
  <si>
    <t>The ability for the system to transfer initial event information to the dispatch protocol application.</t>
  </si>
  <si>
    <t>The vendor provides its own dispatch protocol/interrogation application that can be used from within CAD.</t>
  </si>
  <si>
    <t>The system provides the ability to launch the dispatch protocol application:</t>
  </si>
  <si>
    <t>Manually</t>
  </si>
  <si>
    <t>Upon entry of a valid event type</t>
  </si>
  <si>
    <t>The system provides the ability for the CAD operator to seamlessly toggle back and forth between the dispatch protocol application and CAD.</t>
  </si>
  <si>
    <t>The system interfaces to the following dispatch protocol providers:</t>
  </si>
  <si>
    <r>
      <t>APCO Multi-purpose Emergency Dispatch System (9-1-1 Adviser</t>
    </r>
    <r>
      <rPr>
        <vertAlign val="superscript"/>
        <sz val="11"/>
        <rFont val="Arial"/>
        <family val="2"/>
      </rPr>
      <t>TM</t>
    </r>
    <r>
      <rPr>
        <sz val="11"/>
        <rFont val="Arial"/>
        <family val="2"/>
      </rPr>
      <t>).</t>
    </r>
  </si>
  <si>
    <r>
      <t>Priority Dispatch ProQA</t>
    </r>
    <r>
      <rPr>
        <vertAlign val="superscript"/>
        <sz val="11"/>
        <rFont val="Arial"/>
        <family val="2"/>
      </rPr>
      <t>TM</t>
    </r>
    <r>
      <rPr>
        <sz val="11"/>
        <rFont val="Arial"/>
        <family val="2"/>
      </rPr>
      <t xml:space="preserve"> Emergency Fire Dispatch (EFD) software.</t>
    </r>
  </si>
  <si>
    <r>
      <t>Priority Dispatch ProQA</t>
    </r>
    <r>
      <rPr>
        <vertAlign val="superscript"/>
        <sz val="11"/>
        <rFont val="Arial"/>
        <family val="2"/>
      </rPr>
      <t>TM</t>
    </r>
    <r>
      <rPr>
        <sz val="11"/>
        <rFont val="Arial"/>
        <family val="2"/>
      </rPr>
      <t xml:space="preserve"> Emergency Medical Dispatch (EMD) software.</t>
    </r>
  </si>
  <si>
    <r>
      <t>Priority Dispatch ProQA</t>
    </r>
    <r>
      <rPr>
        <vertAlign val="superscript"/>
        <sz val="11"/>
        <rFont val="Arial"/>
        <family val="2"/>
      </rPr>
      <t>TM</t>
    </r>
    <r>
      <rPr>
        <sz val="11"/>
        <rFont val="Arial"/>
        <family val="2"/>
      </rPr>
      <t xml:space="preserve"> Emergency Police Dispatch (EPD) software.</t>
    </r>
  </si>
  <si>
    <r>
      <t>Priority Dispatch ProQA</t>
    </r>
    <r>
      <rPr>
        <vertAlign val="superscript"/>
        <sz val="11"/>
        <rFont val="Arial"/>
        <family val="2"/>
      </rPr>
      <t>TM</t>
    </r>
    <r>
      <rPr>
        <sz val="11"/>
        <rFont val="Arial"/>
        <family val="2"/>
      </rPr>
      <t xml:space="preserve"> Paramount Dispatch software.</t>
    </r>
  </si>
  <si>
    <t>Powerphone Computer Aided Call Handling (CACH®) software.</t>
  </si>
  <si>
    <t>The event nature type enables the system the ability to display scripted pre-arrival instructions.</t>
  </si>
  <si>
    <t>Pre-arrival instructions use color-coded panel logic to emphasize key actions and decision pathways.</t>
  </si>
  <si>
    <t>The system incorporates call prioritization with the ability to recommend appropriate unit response based on incident/call type.</t>
  </si>
  <si>
    <t>Dispatch protocol questions and responses must be included in the CAD incident/call records.</t>
  </si>
  <si>
    <t>The system includes an automated dispatch protocol related Quality Assurance Case Review software program capable of providing case histories for each dispatch protocol event/call.</t>
  </si>
  <si>
    <t>The dispatch protocol Quality Assurance program provides for individual TCO case statistics.</t>
  </si>
  <si>
    <t>The dispatch protocol Quality Assurance program provides reports that reflect any period of time or data field requested such as current week, month, or year-to-date statistics.</t>
  </si>
  <si>
    <t>The dispatch protocol system utilizes guide cards or card sets ("flip-file protocol system") that are included as a manual back up to automated CAD / dispatch protocol system.</t>
  </si>
  <si>
    <t>24 hour/7 day technical support service is provided for dispatch protocol-related software issues.</t>
  </si>
  <si>
    <t>The system allows unit dispatch before, during, or after dispatch protocol instructions have been administered.</t>
  </si>
  <si>
    <t>Address</t>
  </si>
  <si>
    <t>Phone Number</t>
  </si>
  <si>
    <t>Event Type</t>
  </si>
  <si>
    <t>Provide scripted key questions for each separate event type.</t>
  </si>
  <si>
    <t>Chief Complaint</t>
  </si>
  <si>
    <t>Age</t>
  </si>
  <si>
    <t>Sex</t>
  </si>
  <si>
    <t>Race</t>
  </si>
  <si>
    <t>Conscious or Unconscious</t>
  </si>
  <si>
    <t>Breathing or Not Breathing</t>
  </si>
  <si>
    <t>Number of victims/patients</t>
  </si>
  <si>
    <t>Provide scripted key questions for each separate chief complaint.</t>
  </si>
  <si>
    <t>Key questions are specific to patient's chief complaint.</t>
  </si>
  <si>
    <t>Acuity</t>
  </si>
  <si>
    <t>Mechanism of injury</t>
  </si>
  <si>
    <t>Scene circumstances</t>
  </si>
  <si>
    <t>The patient condition codes allow the ability to determine what resources to recommend to event/call.</t>
  </si>
  <si>
    <t>The patient condition codes enable scripted pre-arrival instructions.</t>
  </si>
  <si>
    <t>The dispatch protocol system meets or exceeds all national criteria set by ASTM, US Department of Transportation, and National Association of EMS Physician dispatch protocol.</t>
  </si>
  <si>
    <t>The dispatch protocol system meets or exceeds State EMD protocols and requirements ((210 ILCS 50/3.70) Sec. 3.70. Emergency Medical Dispatcher).</t>
  </si>
  <si>
    <t>The third party dispatch protocol software (e.g. Powerphone, APCO, ProQA) interfaces with the TDD / TTY to allow questions to be transmitted to the caller.</t>
  </si>
  <si>
    <t>Description of Capability
CAD Interface EMS Billing</t>
  </si>
  <si>
    <t>CAD Interface EMS Billing</t>
  </si>
  <si>
    <t>IEBill</t>
  </si>
  <si>
    <t>The selected vendor has an EMS Billing module available should it be requested by the Agency.</t>
  </si>
  <si>
    <t>The system has the ability to interface with an EMS Billing application.</t>
  </si>
  <si>
    <t>Description of Capability
CAD Interfaces E-9-1-1</t>
  </si>
  <si>
    <t>CAD Interface E9-1-1</t>
  </si>
  <si>
    <t>IE911</t>
  </si>
  <si>
    <t>The system interfaces to the PSAP's E9-1-1 telephone system and answering positions.</t>
  </si>
  <si>
    <t>The system is capable of accepting emergency call and location data originating from SIP with location conveyance.</t>
  </si>
  <si>
    <t>The system accepts ANI and ALI data from the Customer's 9-1-1 telephone system.</t>
  </si>
  <si>
    <t>The call data based on basic 9-1-1 data is transferred appropriately to CAD call entry form.</t>
  </si>
  <si>
    <t>The call data based on enhanced 9-1-1 data is transferred appropriately to CAD call entry form.</t>
  </si>
  <si>
    <t>Call data containing Wireless Phase 1 data is transferred to the CAD call entry form.</t>
  </si>
  <si>
    <t>Call data containing Wireless Phase 2 data is transferred to the CAD call entry form.</t>
  </si>
  <si>
    <t>The system accepts X / Y coordinates, e.g., latitude / longitude, for conversion to the closest:</t>
  </si>
  <si>
    <t>Street Address</t>
  </si>
  <si>
    <t>Address Point</t>
  </si>
  <si>
    <t>Intersection</t>
  </si>
  <si>
    <t>Common Place</t>
  </si>
  <si>
    <t>When validating a location the system will initially attempt a match to the address point layer and then if not located will attempt to validate on the street centerline data.</t>
  </si>
  <si>
    <t>The system is FCC Wireless Phase 2 compliant.</t>
  </si>
  <si>
    <t>Location rebid through the answering equipment can be initiated from CAD by a user.</t>
  </si>
  <si>
    <t>For each occurrence of a rebid the mapping interface should have the capability to keep a record of all location changes within the CAD event.</t>
  </si>
  <si>
    <t>The system displays the caller location on the CAD Mapping system.</t>
  </si>
  <si>
    <t>The system provides the user with a prompt on whether they want to use the resultant rebid location data to update the event location.</t>
  </si>
  <si>
    <t xml:space="preserve">The resultant rebid location data will update the associated event location. </t>
  </si>
  <si>
    <t>The resultant rebid location data will update the CAD Mapping system.</t>
  </si>
  <si>
    <t>Description of Capability
CAD Interface Emergency Notification System</t>
  </si>
  <si>
    <t>CAD Interface Emergency Notification System</t>
  </si>
  <si>
    <t>IENS</t>
  </si>
  <si>
    <t>The system provides the ability to create a message in the CAD and distribute that message to phone numbers based on a set of addresses selected.</t>
  </si>
  <si>
    <t>Ability to select a set of addresses via:</t>
  </si>
  <si>
    <t>Entering street name</t>
  </si>
  <si>
    <t>Entering multiple street names</t>
  </si>
  <si>
    <t>Entering address ranges for a street</t>
  </si>
  <si>
    <t>Entering Common Place name</t>
  </si>
  <si>
    <t>The system provides the ability to create a message in the CAD and distribute that message to phone numbers based on an area selected on the map.</t>
  </si>
  <si>
    <t>Ability to select an area from the map:</t>
  </si>
  <si>
    <t>Click and select a user defined geographical area by clicking and dragging on the map.</t>
  </si>
  <si>
    <t>Selection of any user defined mapping polygon (e.g. response area, municipality, beat, station, runcard, etc).</t>
  </si>
  <si>
    <t>Selection of multiple user defined mapping polygons (e.g. response areas, municipalities, beats, stations, runcards, etc).</t>
  </si>
  <si>
    <t>The system provides a list in CAD of the areas selected and the locations, address and phone numbers that will be included in the message.</t>
  </si>
  <si>
    <t>Description of Capability
CAD Interface ePCR</t>
  </si>
  <si>
    <t>CAD Interface ePCR</t>
  </si>
  <si>
    <t>ePCR</t>
  </si>
  <si>
    <t>The system is capable of exporting an XML file containing call for service information to a location for import by ImageTrend.</t>
  </si>
  <si>
    <t>The connection can be via a web service over HTTPS.</t>
  </si>
  <si>
    <t>The ePCR interface complies with HIPAA standards and regulations.</t>
  </si>
  <si>
    <t>The system has the ability to be configured so that HIPAA data can only be viewed by an authorized user.</t>
  </si>
  <si>
    <t>The system can be configured to never include HIPAA data on sent reports.</t>
  </si>
  <si>
    <t>The system can be configured that on events shared between disciplines the HIPAA data is not available for viewing by the law enforcement discipline.</t>
  </si>
  <si>
    <t>The system can be configured to allow HIPAA data to be included in the data sent to the EMS and Fire RMS packages.</t>
  </si>
  <si>
    <t>The data transfer to the ePCR system is encrypted.</t>
  </si>
  <si>
    <t>The data transfer to the ePCR system can use XML file format.</t>
  </si>
  <si>
    <t>The triggers set to initiate data transfer are defined by the agency.</t>
  </si>
  <si>
    <t>The data transfer to the ePCR system will occur on unit dispatch.</t>
  </si>
  <si>
    <t>They system supports automatic population of standard CAD data.</t>
  </si>
  <si>
    <t>The data transfer to the ePCR system can initiate an ePCR.</t>
  </si>
  <si>
    <t>The data transfer to the ePCR system can add to an existing ePCR record.</t>
  </si>
  <si>
    <t>The agency can select the units that the ePCR data will be sent.</t>
  </si>
  <si>
    <t>The data transfer to the ePCR system will occur on unit status change.</t>
  </si>
  <si>
    <t>The triggers set to update an ePCR record are defined by the agency.</t>
  </si>
  <si>
    <t>Triggers to update an ePCR record include, but are not limited to:</t>
  </si>
  <si>
    <t>responding</t>
  </si>
  <si>
    <t>on scene</t>
  </si>
  <si>
    <t>at patient</t>
  </si>
  <si>
    <t>enroute to hospital</t>
  </si>
  <si>
    <t>closed event</t>
  </si>
  <si>
    <t>The data transfer can occur while the incident is in progress to facilitate entry of a PCR form by field personnel in real time.</t>
  </si>
  <si>
    <t xml:space="preserve"> The system supports automatic transfer of standard CAD fields.</t>
  </si>
  <si>
    <t>The ePCR Interface is able to send the following data to the ePCR application:</t>
  </si>
  <si>
    <t>Date / Time of incident</t>
  </si>
  <si>
    <t>EMD related data</t>
  </si>
  <si>
    <t>Incident number</t>
  </si>
  <si>
    <t>Location</t>
  </si>
  <si>
    <t>Notes/Narrative</t>
  </si>
  <si>
    <t>Zip code</t>
  </si>
  <si>
    <t>Common name</t>
  </si>
  <si>
    <t>X / Y coordinates, e.g., latitude and longitude</t>
  </si>
  <si>
    <t>County</t>
  </si>
  <si>
    <t>Units assigned</t>
  </si>
  <si>
    <t>Unit times</t>
  </si>
  <si>
    <t>State Agency ID</t>
  </si>
  <si>
    <t>The mobile application supports the ability for the ePCR application to transfer EKG data using Code-Stat software via the LifeNet cloud based data network.</t>
  </si>
  <si>
    <t>Dispatch protocol information attached to a CAD event record is transmitted to e-PCR via the interface.</t>
  </si>
  <si>
    <t>EMS Reporting / PCR Requirements</t>
  </si>
  <si>
    <t>The EMS Records Management System (ERMS) will comply with the latest version of NEMSIS data and reporting standards used by the State having jurisdiction.</t>
  </si>
  <si>
    <t>The EMS Records Management System (ERMS) will comply with latest version of HL7 data and reporting standards used by the State having jurisdiction.</t>
  </si>
  <si>
    <t>The ERMS is able to capture incident data elements available in CAD system.</t>
  </si>
  <si>
    <t>The system complies with State rules and regulations for EMS data collection and reporting.</t>
  </si>
  <si>
    <t>CAD interface to ERMS has a near real-time live connection (not a closed call download).</t>
  </si>
  <si>
    <t>The system allows creating an NFIRS report from within the Patient Care Record (PCR).</t>
  </si>
  <si>
    <t>Data quality control measures are built into ERMS PCR module.</t>
  </si>
  <si>
    <t xml:space="preserve">The system must allow authorized users to define smart rules to validate data entry for quality assurance. </t>
  </si>
  <si>
    <t>The system is NEMSIS certified.</t>
  </si>
  <si>
    <t>The system is HIPAA compliant.</t>
  </si>
  <si>
    <t>The system is capable of exporting required billing related information to a third party billing agency by secure means (i.e. encryption or similar security).</t>
  </si>
  <si>
    <t>The system can attach defibulator event files.</t>
  </si>
  <si>
    <t>The system accepts electronic signatures under many roles attached to a single PCR.</t>
  </si>
  <si>
    <t>The system allows an active ERMS workstation to print to any printer available on the network authorized to print ERMS related material.</t>
  </si>
  <si>
    <t>The system is able to calculate age when date of birth is entered. Age must be in appropriate units of time, e.g. for infants less than 30 days, the units will be days, infants greater than 1 month but less than 1 year, the units will be months.</t>
  </si>
  <si>
    <t xml:space="preserve">Previous patient medical history is available for repeat patients without having to provide any special designation. The data contains basic information such as DNR orders, allergy information, medical history, medications, etc. </t>
  </si>
  <si>
    <t>The system provides an “auto-narrative” to capture essential data points and begin building the incident narrative based in system administrator templates.</t>
  </si>
  <si>
    <t>The system can edit/modify "auto-narrative".</t>
  </si>
  <si>
    <t>The system is able to turn off "auto-narrative" feature at the discretion of an authorized user.</t>
  </si>
  <si>
    <t>The system can capture the name of receiving RN or MD at hospital.</t>
  </si>
  <si>
    <t>The system provides areas for user definable fields.</t>
  </si>
  <si>
    <t>The system provides areas for user definable drop-down pick lists.</t>
  </si>
  <si>
    <t xml:space="preserve">The system tracks accidents involving agency apparatus. </t>
  </si>
  <si>
    <t xml:space="preserve">The system tracks accidents involving agency personnel. </t>
  </si>
  <si>
    <t xml:space="preserve"> The data collected in accident reports includes, at a minimum:</t>
  </si>
  <si>
    <t>Vehicle type</t>
  </si>
  <si>
    <t>Damage</t>
  </si>
  <si>
    <t>Protection used</t>
  </si>
  <si>
    <t>Type of collision</t>
  </si>
  <si>
    <t>Speed</t>
  </si>
  <si>
    <t>Posted Speed(s)</t>
  </si>
  <si>
    <t>Location (e.g., highway, parking lot, city street)</t>
  </si>
  <si>
    <t>Dispatch and Unit Time Stamps</t>
  </si>
  <si>
    <t>The system captures dispatch and unit status time stamps from CAD, which include:</t>
  </si>
  <si>
    <t>Call Received time</t>
  </si>
  <si>
    <t>Dispatch Notified time</t>
  </si>
  <si>
    <t>Unit Dispatched time</t>
  </si>
  <si>
    <t>En Route time</t>
  </si>
  <si>
    <t>First Responder Arrived time</t>
  </si>
  <si>
    <t>First Medic Arrived time</t>
  </si>
  <si>
    <t>Unit Arrived time</t>
  </si>
  <si>
    <t>At Patient time</t>
  </si>
  <si>
    <t>Transferred Care time</t>
  </si>
  <si>
    <t>Left Scene time</t>
  </si>
  <si>
    <t>Arrived Destination (Hospital) time</t>
  </si>
  <si>
    <t>Left Destination time</t>
  </si>
  <si>
    <t>Call Cancelled time</t>
  </si>
  <si>
    <t>In Service time</t>
  </si>
  <si>
    <t>Complete - Back in Quarters time</t>
  </si>
  <si>
    <t>The system is able to note time delays (e.g., traffic, trains, vehicle failures)</t>
  </si>
  <si>
    <t>The system flags and tracks the following:</t>
  </si>
  <si>
    <t>Staging time</t>
  </si>
  <si>
    <t>Standby time</t>
  </si>
  <si>
    <t>Alcohol and drug related incidents</t>
  </si>
  <si>
    <t>Incidents involving vehicle crashes</t>
  </si>
  <si>
    <t>Any unusual incidents (e.g. odor investigation)</t>
  </si>
  <si>
    <t>Incidents involving persons using personal protective equipment.</t>
  </si>
  <si>
    <t>Nature of Call Information, which includes:</t>
  </si>
  <si>
    <t>Response Mode to Scene</t>
  </si>
  <si>
    <t>Medical Priority Dispatch Code</t>
  </si>
  <si>
    <t>EMD Performed</t>
  </si>
  <si>
    <t>EMD Card</t>
  </si>
  <si>
    <t>Nature of Call on Scene</t>
  </si>
  <si>
    <t>Patient Information, which includes:</t>
  </si>
  <si>
    <t>Name</t>
  </si>
  <si>
    <t>Allow for unknown patient names</t>
  </si>
  <si>
    <t>Allow for Hospital patient numbers for unidentified patients</t>
  </si>
  <si>
    <t>Phone</t>
  </si>
  <si>
    <t>SSN</t>
  </si>
  <si>
    <t>DOB</t>
  </si>
  <si>
    <t>Allow for estimated age value if DOB unknown</t>
  </si>
  <si>
    <t>Height</t>
  </si>
  <si>
    <t>Provider and patient signatures, where applicable.</t>
  </si>
  <si>
    <t>Acknowledgment of HIPAA notice delivered</t>
  </si>
  <si>
    <t>Acknowledgment of HIPAA notice signed</t>
  </si>
  <si>
    <t>Reason for lack of patient signature for HIPAA notice delivery.</t>
  </si>
  <si>
    <t>Acknowledgment of Billing Consent signed</t>
  </si>
  <si>
    <t>Reason for lack of Billing Consent signature.</t>
  </si>
  <si>
    <t>Family relative information</t>
  </si>
  <si>
    <t>Physician information</t>
  </si>
  <si>
    <t>Guarantor information</t>
  </si>
  <si>
    <t>Insurance information</t>
  </si>
  <si>
    <t>Billing Information, which includes:</t>
  </si>
  <si>
    <t>Mileages</t>
  </si>
  <si>
    <t>Fee code</t>
  </si>
  <si>
    <t>Mileage Rates</t>
  </si>
  <si>
    <t>Loaded Miles Fee</t>
  </si>
  <si>
    <t>Total Charges</t>
  </si>
  <si>
    <t>Patient Assessment, which includes</t>
  </si>
  <si>
    <t>Onset date and time</t>
  </si>
  <si>
    <t>Secondary Complaint</t>
  </si>
  <si>
    <t>PTA (prior to arrival) vital signs.</t>
  </si>
  <si>
    <t>Vitals signs (multiple)</t>
  </si>
  <si>
    <t>Performing Medic</t>
  </si>
  <si>
    <t>Date and Time</t>
  </si>
  <si>
    <t>PCO2 device</t>
  </si>
  <si>
    <t>PCO2 reading</t>
  </si>
  <si>
    <t>PO2</t>
  </si>
  <si>
    <t>Pain Index</t>
  </si>
  <si>
    <t>Stroke Scale</t>
  </si>
  <si>
    <t>Level of Response using AVPU scale</t>
  </si>
  <si>
    <t>Pulse</t>
  </si>
  <si>
    <t>Respiration Rate</t>
  </si>
  <si>
    <t>Blood Pressure</t>
  </si>
  <si>
    <t>Temperature</t>
  </si>
  <si>
    <t>ECG</t>
  </si>
  <si>
    <t>Reason field if ECG not done/collected</t>
  </si>
  <si>
    <t>12 lead EKG</t>
  </si>
  <si>
    <t>Reason field if EKG not done/collected</t>
  </si>
  <si>
    <t>Broselow Scale</t>
  </si>
  <si>
    <t>Thrombolytic Checklist.</t>
  </si>
  <si>
    <t>Glasgow Comma Scale, multiple instances (i.e. initial score, secondary scores for critical patients or change of status)</t>
  </si>
  <si>
    <t>Trauma Score</t>
  </si>
  <si>
    <t>The system tracks Physician Assessment for multiple patients</t>
  </si>
  <si>
    <t>Physician Assessment record includes, but is not limited to:</t>
  </si>
  <si>
    <t>Head</t>
  </si>
  <si>
    <t>Face</t>
  </si>
  <si>
    <t>Eyes</t>
  </si>
  <si>
    <t>Mental Status</t>
  </si>
  <si>
    <t>Neurological Status</t>
  </si>
  <si>
    <t>Neck</t>
  </si>
  <si>
    <t>Back</t>
  </si>
  <si>
    <t>Chest</t>
  </si>
  <si>
    <t>Lungs</t>
  </si>
  <si>
    <t>Abdomen</t>
  </si>
  <si>
    <t>Skin</t>
  </si>
  <si>
    <t>GU (Pelvis/Groin)</t>
  </si>
  <si>
    <t>Circulation</t>
  </si>
  <si>
    <t>Extremities</t>
  </si>
  <si>
    <t>Sign &amp; Symptoms (multiple instances, from drop-down/table driven field)</t>
  </si>
  <si>
    <t>Free-text field for "other" type entries related to signs and symptoms</t>
  </si>
  <si>
    <t>Medical History (multiple instances, from drop-down/table driven field)</t>
  </si>
  <si>
    <t>Free text field for "other" type entries related to Medical History</t>
  </si>
  <si>
    <t>Allergies (multiple instances from drop-down/table driven field)</t>
  </si>
  <si>
    <t>Free text field for "other" type entries related to Allergies</t>
  </si>
  <si>
    <t>Current Medications (multiple instances, from drop-down/table driven field)</t>
  </si>
  <si>
    <t>Free text field for "other" type entries related to Current Medications</t>
  </si>
  <si>
    <t xml:space="preserve">Trauma  </t>
  </si>
  <si>
    <t>Mechanism of Injury</t>
  </si>
  <si>
    <t>Interventions (multiple)</t>
  </si>
  <si>
    <t>Intervention data includes:</t>
  </si>
  <si>
    <t>Procedures (multiple)</t>
  </si>
  <si>
    <t>Sub-procedures (multiple) to address manner of procedure performed</t>
  </si>
  <si>
    <t>Medications (multiple), with the following fields for each Medications entry:</t>
  </si>
  <si>
    <t>Dose</t>
  </si>
  <si>
    <t>Route given</t>
  </si>
  <si>
    <t>Unit of measure</t>
  </si>
  <si>
    <t>Cardiac Arrest Information</t>
  </si>
  <si>
    <t>Cardiac Occurrence Screening</t>
  </si>
  <si>
    <t xml:space="preserve">Cardiac Monitoring </t>
  </si>
  <si>
    <t>AED Equipment</t>
  </si>
  <si>
    <t>The system is able to attach the complete cardiac monitoring record (from power on to end of event) to call record</t>
  </si>
  <si>
    <t>The system is able to attach the complete AED monitoring record (from power on to end of event) to call record</t>
  </si>
  <si>
    <t>An authorized user is able to customize Q/C Rules.</t>
  </si>
  <si>
    <t xml:space="preserve">The system captures up to 12 additional fields per specific procedure. </t>
  </si>
  <si>
    <t xml:space="preserve">The additional specific procedure fields are customizable by an authorized user. </t>
  </si>
  <si>
    <t xml:space="preserve">The system is able to capture up to 12 additional fields per medication. </t>
  </si>
  <si>
    <t xml:space="preserve">The additional medication related fields are customizable by an authorized user. </t>
  </si>
  <si>
    <t xml:space="preserve">The system meets the requirements for a stand alone Basic Life Support department.  </t>
  </si>
  <si>
    <t>The system meets the requirements for a stand alone Advanced Life Support department.</t>
  </si>
  <si>
    <t>Description of Capability
CAD Interface External Databases</t>
  </si>
  <si>
    <t>CAD Interface External Databases</t>
  </si>
  <si>
    <t>IExtDB</t>
  </si>
  <si>
    <t>The system is able to interface with external database(s) to share data with other records systems and/or CAD systems, regardless of the platform / language / database structure of the other agency system (e.g., Global Justice XML format, NEIM).</t>
  </si>
  <si>
    <t>Regional Law Enforcement Data-Sharing Application</t>
  </si>
  <si>
    <t xml:space="preserve">The system interfaces shall send CAD data to regional law enforcement data sharing application(s).  </t>
  </si>
  <si>
    <t xml:space="preserve">The system interfaces shall send RMS data to regional law enforcement data sharing application(s).  </t>
  </si>
  <si>
    <t xml:space="preserve">The system interfaces shall send CMS data to regional law enforcement data sharing application(s).  </t>
  </si>
  <si>
    <t>The system allows the user to schedule when the uploads to Regional Law Enforcement data sharing application(s) will occur:</t>
  </si>
  <si>
    <t>Real time</t>
  </si>
  <si>
    <t>An agency defined interval (e.g. hourly, daily, weekly)</t>
  </si>
  <si>
    <t>An authorized user has the ability to determine the type of information or fields that are required by an Regional Law Enforcement data sharing application(s).</t>
  </si>
  <si>
    <t>The system is capable of sending the following, but not limited to, types of information to any regional law enforcement data sharing application(s):</t>
  </si>
  <si>
    <t>People</t>
  </si>
  <si>
    <t>Places</t>
  </si>
  <si>
    <t>Incidents</t>
  </si>
  <si>
    <t>Arrests</t>
  </si>
  <si>
    <t>Vehicles</t>
  </si>
  <si>
    <t>Charge Type</t>
  </si>
  <si>
    <t>Charge Descriptions</t>
  </si>
  <si>
    <t>Contacts</t>
  </si>
  <si>
    <t>Weapons</t>
  </si>
  <si>
    <t>Pawned Items</t>
  </si>
  <si>
    <t>Field Interviews</t>
  </si>
  <si>
    <t>Mug Shots</t>
  </si>
  <si>
    <t>Unstructured data (e.g. investigative case reports and narrative, follow-up reports)</t>
  </si>
  <si>
    <t>Booking</t>
  </si>
  <si>
    <t>Other field data that may be required or requested.</t>
  </si>
  <si>
    <t>Law Pawn Database</t>
  </si>
  <si>
    <t>The system is capable of importing Pawn transaction data to the Pawn Shop Module.</t>
  </si>
  <si>
    <t>The frequency of the pawn upload is user defined.</t>
  </si>
  <si>
    <t>The system is capable of transmitting the following, but not limited to:</t>
  </si>
  <si>
    <t xml:space="preserve">Transaction date/time </t>
  </si>
  <si>
    <t>Transaction type</t>
  </si>
  <si>
    <t>Property type</t>
  </si>
  <si>
    <t>Serial number</t>
  </si>
  <si>
    <t>Owner applied number</t>
  </si>
  <si>
    <t>Model number</t>
  </si>
  <si>
    <t>VIN</t>
  </si>
  <si>
    <t>Description of property</t>
  </si>
  <si>
    <t>Pawnbroker</t>
  </si>
  <si>
    <t>Pawner / Buyer</t>
  </si>
  <si>
    <t>Other field data that may be available from reported pawn transaction information that has a corresponding field within LERMS pawn shop application.</t>
  </si>
  <si>
    <t>The system is capable of initiating a METERS/NCIC property inquiry upon entry of a pawned item in the LERMS.</t>
  </si>
  <si>
    <t>The system is capable of initiating a METERS/NCIC person inquiry upon entry of a pawned item owner in the LERMS.</t>
  </si>
  <si>
    <t xml:space="preserve">The system is capable of initiating a LERMS property inquiry upon entry of a pawned item. </t>
  </si>
  <si>
    <t xml:space="preserve">The system is capable of initiating a LERMS person inquiry upon entry of a pawned item owner. </t>
  </si>
  <si>
    <t>CrimeReports.com</t>
  </si>
  <si>
    <t>The system is capable of interfacing and sending specified event data to CrimeReports.com</t>
  </si>
  <si>
    <t>The frequency of the CrimeReports upload is user defined.</t>
  </si>
  <si>
    <t>Data fields to be uploaded, at a minimum, include:</t>
  </si>
  <si>
    <t>Incident Number</t>
  </si>
  <si>
    <t>Primary Disposition Code</t>
  </si>
  <si>
    <t>Primary Disposition Description</t>
  </si>
  <si>
    <t>Secondary Disposition Code</t>
  </si>
  <si>
    <t>Secondary Disposition Description</t>
  </si>
  <si>
    <t>City</t>
  </si>
  <si>
    <t xml:space="preserve">Date </t>
  </si>
  <si>
    <t>Time</t>
  </si>
  <si>
    <t>Other field data that can be accepted by Crime Reports.com application.</t>
  </si>
  <si>
    <t>IAPro</t>
  </si>
  <si>
    <t>The system is capable of interfacing and sending personnel information to IAPro internal affairs software.</t>
  </si>
  <si>
    <t>The frequency of the sending data to the IAPro is user defined.</t>
  </si>
  <si>
    <t>The system is capable of sending all data fields included in the LERMS personnel file.</t>
  </si>
  <si>
    <t>The system is capable of sending all data fields as outlined in the interface documentation provided in the RFP appendix for IAPro.</t>
  </si>
  <si>
    <t>WebEOC</t>
  </si>
  <si>
    <t>The system provides the ability to provide a one-way interface from the CAD system to the WebEOC system.</t>
  </si>
  <si>
    <t xml:space="preserve">Ability to transfer user defined event types automatically to the WebEOC application.  </t>
  </si>
  <si>
    <t>ATAC Crime Analysis</t>
  </si>
  <si>
    <t>The system supports an interface to the ATAC crime analysis application.</t>
  </si>
  <si>
    <t>The system is capable of sending all data fields as outlined in the interface to documentation provided in the RFP appendix for ATAC.</t>
  </si>
  <si>
    <t>Civil Court Paper System</t>
  </si>
  <si>
    <t>The system is capable of sending all data fields as outlined in the interface documentation provided in the RFP appendix for Civil Court Papers.</t>
  </si>
  <si>
    <t>Facility Management</t>
  </si>
  <si>
    <t>The system can interface to Sprocket facility management software application.</t>
  </si>
  <si>
    <t>Fleet Maintenance</t>
  </si>
  <si>
    <t>The system can interface to FASTER fleet management software  application.</t>
  </si>
  <si>
    <t>Description of Capability
CAD Interface FAX</t>
  </si>
  <si>
    <t>CAD Interface FAX</t>
  </si>
  <si>
    <t>IFAX</t>
  </si>
  <si>
    <t>The system is capable of sending documents to external Facsimile (FAX) devices.</t>
  </si>
  <si>
    <t>The system is capable of sending documents to internal FAX devices.</t>
  </si>
  <si>
    <t>The FAX interface setting are configurable by an authorized user.</t>
  </si>
  <si>
    <t>FAX settings include the ability to set up and maintain groups.</t>
  </si>
  <si>
    <t>Sending FAXs can be automatic, e.g., sending incident reports to departments / units included on a specific call.</t>
  </si>
  <si>
    <t>Sending FAXs can be manually initiated by the user.</t>
  </si>
  <si>
    <t>The criteria for sending FAXs are configurable by an authorized user.</t>
  </si>
  <si>
    <t>CAD Interface Firehouse Software</t>
  </si>
  <si>
    <t>The system will interface to Firehouse Software FH Enterprise.</t>
  </si>
  <si>
    <t>The system will interface to Firehouse Software FH Mobile Module.</t>
  </si>
  <si>
    <t>The system will interface to Firehouse Software FH Mobile ePCR Module.</t>
  </si>
  <si>
    <t>The system will interface to Firehouse Software FH Mobile Preplan Module.</t>
  </si>
  <si>
    <t>The system is capable of a multi-agency Firehouse interface configuration.</t>
  </si>
  <si>
    <t>The system will interface to Firehouse Software FH Web.</t>
  </si>
  <si>
    <t>The system supports automatic polling of the CAD database by FH Enterprise to upload data to a remote Firehouse database.</t>
  </si>
  <si>
    <t>The system supports Auto-Link to FH Occupancy based on Address function.</t>
  </si>
  <si>
    <t>The Firehouse interface is a two-way interface.</t>
  </si>
  <si>
    <t>clear scene - enroute to quarters</t>
  </si>
  <si>
    <t>in quarters</t>
  </si>
  <si>
    <t>The data transfer can occur while the incident is in progress to facilitate entry of fire incident (NFIRS) prior to closing the incident.</t>
  </si>
  <si>
    <t>Description of Capability
CAD Interface Forms/Report Writing Tool</t>
  </si>
  <si>
    <t>CAD Interface Forms/Report Writing Tool</t>
  </si>
  <si>
    <t>IForm</t>
  </si>
  <si>
    <t>The system provides the ability to interface with a Forms Tool that will allow agency to create custom forms the same as or similar to reports currently being used by the agency.</t>
  </si>
  <si>
    <t>The forms tool imports relevant data from the system (e.g. personnel training course data) into a form when initiated from or linked with the appropriate module.</t>
  </si>
  <si>
    <t>Forms Tool is able to create report forms from scanned documents.</t>
  </si>
  <si>
    <t>Forms Tool is able to create drop-down fields on agency-created forms.</t>
  </si>
  <si>
    <t>Forms/Report Writing Tool allows for electronic signature capture.</t>
  </si>
  <si>
    <t>The vendor is able to provide a forms tool product that integrates with the proposed system.</t>
  </si>
  <si>
    <t>Forms can be attached to relevant records within the system.</t>
  </si>
  <si>
    <t>Description of Capability
CAD Interface Hazardous Materials</t>
  </si>
  <si>
    <t>CAD Interface Hazardous Materials</t>
  </si>
  <si>
    <t>IHaz</t>
  </si>
  <si>
    <t>The system provides an interface to an internal hazardous materials database.</t>
  </si>
  <si>
    <t>The system provides an interface to  USDOT Emergency Response Guide (most current edition).</t>
  </si>
  <si>
    <t>The system provides an interface to NOAA CAMEO hazardous materials database.</t>
  </si>
  <si>
    <t xml:space="preserve">The system provides a hazardous materials database that can be accessed from: </t>
  </si>
  <si>
    <t>CAD</t>
  </si>
  <si>
    <t>Fire RMS</t>
  </si>
  <si>
    <t>Fire Inspections</t>
  </si>
  <si>
    <t>NFIRS</t>
  </si>
  <si>
    <t>Premises records</t>
  </si>
  <si>
    <t>LERMS</t>
  </si>
  <si>
    <t>Mobile Data</t>
  </si>
  <si>
    <t>Field Reporting</t>
  </si>
  <si>
    <t xml:space="preserve">The system provides the ability to configure an automatic lookup of the chemical in the hazardous material database upon entry of a chemical in the FRMS. </t>
  </si>
  <si>
    <t>The system provides the ability to download and attach searched chemical information to a premise record.</t>
  </si>
  <si>
    <t>The system provides the ability to download and attach searched chemical information to an event.</t>
  </si>
  <si>
    <t>The hazardous materials database may be searched by:</t>
  </si>
  <si>
    <t xml:space="preserve">Placard </t>
  </si>
  <si>
    <t>Chemical name</t>
  </si>
  <si>
    <t>Wildcards</t>
  </si>
  <si>
    <t xml:space="preserve">Hazardous material information can include: </t>
  </si>
  <si>
    <t xml:space="preserve">Chemical (by name, code, category) </t>
  </si>
  <si>
    <t>OSHA exposure regulations</t>
  </si>
  <si>
    <t>OSHA Chemical Sampling Information</t>
  </si>
  <si>
    <t>MSDS information</t>
  </si>
  <si>
    <t>EPA Toxic Substance Control Act Chemical Substances Inventory</t>
  </si>
  <si>
    <t>Consequences of chemical</t>
  </si>
  <si>
    <t>Resource list for mitigation</t>
  </si>
  <si>
    <t xml:space="preserve">SOPs </t>
  </si>
  <si>
    <t>First Aid/exposure information</t>
  </si>
  <si>
    <t>The hazardous materials database provides the current data available from the USDOT Emergency Response Guide (ERG2008 or most current edition).</t>
  </si>
  <si>
    <t>The hazardous materials database can be maintained by authorized users.</t>
  </si>
  <si>
    <t>The hazardous materials database can be updated from outside source (e.g. latest update provided by CAMEO on disk).</t>
  </si>
  <si>
    <t>The hazardous materials database can be updated from outside source (e.g. latest electronic copy of the DOT Response Guide).</t>
  </si>
  <si>
    <t xml:space="preserve">Allow recording of types and locations of hazardous materials stored at addresses within the jurisdiction. </t>
  </si>
  <si>
    <t>Description of Capability
CAD Interface Logging Recorder</t>
  </si>
  <si>
    <t>CAD Interface Logging Recorder</t>
  </si>
  <si>
    <t>ILogR</t>
  </si>
  <si>
    <t>The system is able to interface to the Customer's Logging Recorder system.</t>
  </si>
  <si>
    <t>The system provides screenshots of the CAD workstation to the Logging Recorder via the interface.</t>
  </si>
  <si>
    <t>The system is capable of providing CAD incident record data to the Logging Recorder via the interface.</t>
  </si>
  <si>
    <t>The system is capable of providing a hyperlink from the CAD incident record to the associated Logging Recorder record.</t>
  </si>
  <si>
    <t>The system is capable of providing a hyperlink from the Logging Recorder record to the associated CAD event record.</t>
  </si>
  <si>
    <t>The system is capable of attaching the Logging Recorder .WAV file, or files, to the associated incident record.</t>
  </si>
  <si>
    <t>Description of Capability
CAD Interface NextGen 911</t>
  </si>
  <si>
    <t>CAD Interface NextGen 911</t>
  </si>
  <si>
    <t>Ngen</t>
  </si>
  <si>
    <t>The system will receive IP based 9-1-1 imbedded location data.</t>
  </si>
  <si>
    <t>The system will receive IP based 9-1-1 referenced location data.</t>
  </si>
  <si>
    <t>The system will receive IP based 9-1-1 location data both imbedded and referenced.</t>
  </si>
  <si>
    <t>The system will attach all data received as a component of a 9-1-1 request for service to the CAD incident record.</t>
  </si>
  <si>
    <t>The system will attach streaming video data received as a component of a 9-1-1 request for service to the CAD incident record.</t>
  </si>
  <si>
    <t>The system will attach fixed video data received as a component of a 9-1-1 request for service to the CAD incident record.</t>
  </si>
  <si>
    <t>The system will attach both fixed video data and streaming video data received as a component of a 9-1-1 request for service to the CAD incident record.</t>
  </si>
  <si>
    <t>The system will attach audio data received as a component of a 9-1-1 request for service to the CAD incident record.</t>
  </si>
  <si>
    <t>The system will attach telemetric data (e.g., On Star) received as a component of a 9-1-1 request for service to the CAD incident record.</t>
  </si>
  <si>
    <t>The system will utilize 9-1-1 call data included in the PIDF-LO.</t>
  </si>
  <si>
    <t>The system will transfer CAD incident record attachments received as a component of a 9-1-1 request for service to a Mobile Data Device.</t>
  </si>
  <si>
    <t>The system is capable of integrating with a CAD-to-CAD interface.</t>
  </si>
  <si>
    <t>The system is capable of parsing XML data provided as a component of the 9-1-1 request for service.</t>
  </si>
  <si>
    <t>The system is capable of incorporating parsed XML data provided as a component of the 9-1-1 request for service into the CAD event record.</t>
  </si>
  <si>
    <t>The system will perform 2 way XML data exchange via CAD-to-CAD interface when required for transfer to another PSAP or system.</t>
  </si>
  <si>
    <t>The system is capable of using links to additional information to retrieve information from other systems.</t>
  </si>
  <si>
    <t>Security measures are established for all input data streams.</t>
  </si>
  <si>
    <t>The positioning of the map can be determined by the civic addresses provided via PIDF-LO (NG9-1-1).</t>
  </si>
  <si>
    <t>Description of Capability
CAD Interface PSAP Master Clock</t>
  </si>
  <si>
    <t>CAD Interface PSAP Master Clock</t>
  </si>
  <si>
    <t>IMC</t>
  </si>
  <si>
    <t>The system is capable of establishing a time synchronization interface connection to a Network Time Synchronization application (NIST) accessible via the client network.</t>
  </si>
  <si>
    <t>The system is able to establish the time synchronization interface using an RS-232 serial ASCII communications connection.</t>
  </si>
  <si>
    <t>The system is able to establish the time synchronization interface using an IRIG communications connection.</t>
  </si>
  <si>
    <t>The system is able to establish the time synchronization interface using an Ethernet 10/100 Base-T network connection.</t>
  </si>
  <si>
    <t>The system accepts time codes that utilize Network Time Protocol (NTP).</t>
  </si>
  <si>
    <t>The system accepts time codes that utilize Simple Network Time Protocol (SNTP).</t>
  </si>
  <si>
    <t>The system is capable of accepting broadcast time codes from the NIST Server application.</t>
  </si>
  <si>
    <t>The system is capable of requesting time codes from the PSAP Master Clock via the interface connection.</t>
  </si>
  <si>
    <t>The system automatically adjusts the time settings for all proposed system servers using the time codes from the PSAP Master Clock.</t>
  </si>
  <si>
    <t>The system automatically adjusts the time settings for all CAD workstations using the time codes from the NIST application.</t>
  </si>
  <si>
    <t>The system maintains a continuous time accuracy of +/- 0.25 seconds relative to the NIST.</t>
  </si>
  <si>
    <t>The PSAP Time Synchronization interface conforms to the specifications described in NENA 04-002 v4 or later version of the standards document.</t>
  </si>
  <si>
    <t>Description of Capability
CAD Interface Pictometry</t>
  </si>
  <si>
    <t>CAD Interface Pictometry</t>
  </si>
  <si>
    <t>IPict</t>
  </si>
  <si>
    <t>The CAD mapping system integrates seamlessly with current version of Pictometry.</t>
  </si>
  <si>
    <t>The mobile data mapping system integrates seamlessly with current version of Pictometry.</t>
  </si>
  <si>
    <t>The mobile data devices integrates seamlessly  with current version of Pictometry.</t>
  </si>
  <si>
    <t>The mobile data devices interface utilizes web based version of Pictometry to reduce bandwidth.</t>
  </si>
  <si>
    <t>The system allows the Pictometry images to be viewed as a map layer along with other GIS layers.</t>
  </si>
  <si>
    <t>The system provides Pictometry with coordinate information to display the appropriate locations.</t>
  </si>
  <si>
    <t>When the Pictometry interface is provided, the system is sized with sufficient data storage and processor capabilities</t>
  </si>
  <si>
    <t>The system provides the ability to automatically launch the Pictometry application upon the creation of a CAD event.</t>
  </si>
  <si>
    <t xml:space="preserve">The system provides the ability to pan Pictometry the same as the CAD map display. </t>
  </si>
  <si>
    <t>Description of Capability
CAD Interface Radio System</t>
  </si>
  <si>
    <t>CAD Interface Radio System</t>
  </si>
  <si>
    <t>IRadio</t>
  </si>
  <si>
    <t xml:space="preserve">The Radio Console interface is able to provide push-to-talk radio banner messages of unit radio call signs when the field unit transmits. </t>
  </si>
  <si>
    <t>The push-to-talk radio banner will include, but not limited to:</t>
  </si>
  <si>
    <t>User ID</t>
  </si>
  <si>
    <t>Alias Radio ID</t>
  </si>
  <si>
    <t>Radio ID</t>
  </si>
  <si>
    <t>Date/time transmission initiated</t>
  </si>
  <si>
    <t>Date/time transmission ended</t>
  </si>
  <si>
    <t>Channel/Talk group</t>
  </si>
  <si>
    <t>On the CAD status monitor the unit transmitting over the radio will provide a visual indicator (e.g. unit color change, flashing, reverse highlight)</t>
  </si>
  <si>
    <t>On activation of the radio system emergency button function, the Radio Console interface provides the unit's call sign and AVL location, if available, to the CAD system for display at all dispatch workstations and associated mapping display.</t>
  </si>
  <si>
    <t>Radio encoder tones can be affiliated with a station.</t>
  </si>
  <si>
    <t>Multiple radio encoder tones can be affiliated with a station.</t>
  </si>
  <si>
    <t>Radio encoder tones can be affiliated with a unit.</t>
  </si>
  <si>
    <t>Multiple radio encoder tones can be affiliated with a unit.</t>
  </si>
  <si>
    <t>The system provides the ability to automatically assign a person to a radio ID when that person signs onto a CAD unit affiliated with that radio ID.</t>
  </si>
  <si>
    <t>The system provides the ability to manually assign staff alias radio IDs when assigned to CAD units.</t>
  </si>
  <si>
    <t>CAD Interface - Outdoor Location Tracking</t>
  </si>
  <si>
    <t>The system is capable of sending all data fields as outlined in the interface documentation provided in the RFP appendix for GenSPout.</t>
  </si>
  <si>
    <t>The data filtered to the CAD system will include, but is not limited to:</t>
  </si>
  <si>
    <t>Radio alias ID</t>
  </si>
  <si>
    <t>GPS latitude</t>
  </si>
  <si>
    <t>GPS longitude</t>
  </si>
  <si>
    <t>GPS time stamp</t>
  </si>
  <si>
    <t>Transaction time stamp</t>
  </si>
  <si>
    <t>Emergency button information</t>
  </si>
  <si>
    <t>Unit type</t>
  </si>
  <si>
    <t>Reporting Frequency</t>
  </si>
  <si>
    <t>Altitude</t>
  </si>
  <si>
    <t>Unit status</t>
  </si>
  <si>
    <t>Radio IDs are alphanumeric and a minimum of 8 characters.</t>
  </si>
  <si>
    <t>Alias radio IDs are alphanumeric and a minimum of 8 characters.</t>
  </si>
  <si>
    <t>A lack of a heartbeat in a specified amount of time a CAD message will be sent indicating the interface is down.</t>
  </si>
  <si>
    <t>The control commands will include, but is not limited to:</t>
  </si>
  <si>
    <t>Radio stop reporting</t>
  </si>
  <si>
    <t>Radio start reporting</t>
  </si>
  <si>
    <t>Decrease reporting frequency</t>
  </si>
  <si>
    <t>Increase reporting frequency</t>
  </si>
  <si>
    <t>Adjust the refresh rate of radio data</t>
  </si>
  <si>
    <t>The system is capable of maintaining a table of radio IDs and associated radio alias IDs.</t>
  </si>
  <si>
    <t>The system is capable of associating radio IDs, radio alias IDs and CAD IDs.</t>
  </si>
  <si>
    <t>The mapping system is capable of applying 'tracking' map layer for display of the location information.</t>
  </si>
  <si>
    <t>Description of Capability
CAD Interface LE Records Management System</t>
  </si>
  <si>
    <t>CAD Interface LERMS</t>
  </si>
  <si>
    <t>IRMS</t>
  </si>
  <si>
    <t>The system provides the ability to pass incident data from agency's CAD to the agency's Law Enforcement Records Management System (LERMS), or systems as appropriate, on completion of the incident.</t>
  </si>
  <si>
    <t>The system provides the ability to pass incident data from the agency's CAD to the agency's LERMS at specified intervals during the active incident.</t>
  </si>
  <si>
    <t xml:space="preserve">The system provides the ability to pass incident data from agency's CAD to other regional Law Enforcement Records Management Systems (LERMS). </t>
  </si>
  <si>
    <t xml:space="preserve">The system provides the ability to pass incident data from agency's CAD to local Law Enforcement Records Management Systems (LERMS). </t>
  </si>
  <si>
    <t>The data transfer to the LERMS system will occur on unit dispatch.</t>
  </si>
  <si>
    <t>The data transfer to the LERMS system can initiate a RMS record.</t>
  </si>
  <si>
    <t>The data transfer to the LERMS system can add to an existing RMS record.</t>
  </si>
  <si>
    <t>The data transfer to the LERMS system will occur on unit status change.</t>
  </si>
  <si>
    <t>The triggers set to update an LERMS are defined by the agency.</t>
  </si>
  <si>
    <t>The system interfaces and can send data to the KYOPS database.</t>
  </si>
  <si>
    <t>The system provides the ability to perform a query on the agency's LERMS from the CAD and return the results of the query to the originating workstation.</t>
  </si>
  <si>
    <t>The system provides the ability to attach the results of an LERMS query to a CAD incident.</t>
  </si>
  <si>
    <t>The system provides the ability to perform a query on the agency's LERMS from the mobile device and return the results of the query to the originating device.</t>
  </si>
  <si>
    <t>The system provides the ability to perform a query on the agency's LERMS from the CAD operation workstation and return the results of the query to the originating workstation.</t>
  </si>
  <si>
    <t>Inquiries can be performed on the RMS database based on the following:</t>
  </si>
  <si>
    <t>Subject</t>
  </si>
  <si>
    <t>Vehicle</t>
  </si>
  <si>
    <t>The system provides the ability to pass call/incident data from CAD to the CISCO LERMS.</t>
  </si>
  <si>
    <t xml:space="preserve">Description of Capability
CAD Interface Resource Deployment </t>
  </si>
  <si>
    <t>CAD Interface Resource Deployment - Deployment Software</t>
  </si>
  <si>
    <t>Resource Deployment - Deccan LiveMUM</t>
  </si>
  <si>
    <t>IResD</t>
  </si>
  <si>
    <t>The system is capable of a two way interface with Deccan's LiveMUM move-up application.</t>
  </si>
  <si>
    <t>The system provides a method to monitor response coverage within the Agency, and recommend unit movements to cover for gaps in response coverage (both incident and non-incident related).</t>
  </si>
  <si>
    <t>The system provides the ability for CAD to receive move-up recommendations from LiveMUM.</t>
  </si>
  <si>
    <t>The system provides the ability for CAD users to review, accept and dispatch move-up recommendations in one step.</t>
  </si>
  <si>
    <t>The system provides the ability for the CAD user to:</t>
  </si>
  <si>
    <t>Accept the move-up recommendations</t>
  </si>
  <si>
    <t>Over-ride the move-up recommendations</t>
  </si>
  <si>
    <t>Decline the move-up recommendations</t>
  </si>
  <si>
    <t>The system allows the Agency to define the business rules by which deployment recommendations are made.</t>
  </si>
  <si>
    <t>The system makes dynamic resource deployment recommendations (real time).</t>
  </si>
  <si>
    <t>The system is capable of sending alerts to the dispatcher when there is a need for resource relocation.</t>
  </si>
  <si>
    <t>The system minimizes the number of recommended resource movements, while optimizing resource coverage for each resource type.</t>
  </si>
  <si>
    <t>The system stores (for potential retrieval and analysis) all information pertinent  to any recommendations made and user actions taken in via the system.</t>
  </si>
  <si>
    <t>The system uses local map and road networks to create maps required for the functionality of the system.</t>
  </si>
  <si>
    <t>The system supports the concept of multiple ‘layers of coverage capability’ based on resource type, e.g., a coverage layer for all transport capable units, a layer for ALS capable units, and a layer for BLS capable units.</t>
  </si>
  <si>
    <t>An individual resource is able to simultaneously contribute to coverage in one or more resource types, i.e., an ALS Transport Unit would provide coverage in the ALS layer, the BLS layer, and the transport unit layer.</t>
  </si>
  <si>
    <t>The system will automatically notify the user when resource re-deployment is necessary.</t>
  </si>
  <si>
    <t>The notice for resource redeployment will be triggered when demand coverage has fallen below a department specified threshold for a given area.</t>
  </si>
  <si>
    <t>The system allows the user to view the current coverage and the impact that a given re-deployment recommendation, or user specified deployment idea will have, prior to enacting or accepting the recommendation.</t>
  </si>
  <si>
    <t>The system permits setting up of return to service based on incident types, resource types, and resource statuses in order to avoid unnecessary move-ups.</t>
  </si>
  <si>
    <t>The system supports the concept of resources having multiple capabilities. A particular resource may possess multiple capabilities depending on both its resource type and staff capabilities.</t>
  </si>
  <si>
    <t>The system will utilize real-time AVL information to recommend move-ups to allow accurate predictions of coverage.</t>
  </si>
  <si>
    <t xml:space="preserve">The resource deployment module obtains resource information in real time from CAD including the location of resources, their status and resource type, and call type. </t>
  </si>
  <si>
    <t>Once a user confirms and accepts a redeployment recommendation in the Move-up software, the system will relay it to the CAD.</t>
  </si>
  <si>
    <t>The system allows the user to retract the move-ups as apparatus clears the call.</t>
  </si>
  <si>
    <t>The system allows CAD users to distinguish between units assigned to an event and units in a move-up or cover status.</t>
  </si>
  <si>
    <t>The system provides a Graphic User Interface (GUI) operating in a standard Windows environment.</t>
  </si>
  <si>
    <t>User inputs and actions will be user-friendly and utilize a pointing device, pull-down menus and standardized tables and forms.</t>
  </si>
  <si>
    <t>Runcard Builder - Deccan BARB</t>
  </si>
  <si>
    <t>The system is capable of a two way interface with Deccan's BARB runcard builder application.</t>
  </si>
  <si>
    <t>The system provides the ability to send incident data from CAD to BARB.</t>
  </si>
  <si>
    <t>The system provides the ability to receive unit recommendations from BARB.</t>
  </si>
  <si>
    <t>The system provides the ability for the dispatchers to:</t>
  </si>
  <si>
    <t>Accept response pattern recommendations</t>
  </si>
  <si>
    <t>Over-ride response pattern recommendations</t>
  </si>
  <si>
    <t>Delete units from the response pattern recommendations</t>
  </si>
  <si>
    <t>Add units to the response pattern recommendations</t>
  </si>
  <si>
    <t>Decline response pattern recommendations</t>
  </si>
  <si>
    <t>The system provides the ability for the dispatchers to review, accept and dispatch the response pattern recommendations in one step.</t>
  </si>
  <si>
    <t>The system provides the ability to import runcards created in BARB into CAD.</t>
  </si>
  <si>
    <t>Description of Capability
CAD Interface Rip and Run</t>
  </si>
  <si>
    <t>CAD Interface Rip and Run</t>
  </si>
  <si>
    <t>IRip</t>
  </si>
  <si>
    <t>The system provides the ability to send the CAD incident data to Rip and Run printers remotely connected to the network.</t>
  </si>
  <si>
    <t>The system is configured to automatically print the CAD incident data when sent to the selected printer.</t>
  </si>
  <si>
    <t>The CAD incident details and fields on a Rip and Run printout are configurable by the agency.</t>
  </si>
  <si>
    <t>The incident details and fields on a Rip and Run printout include, but not limited to, the following fields:</t>
  </si>
  <si>
    <t>Cross Streets</t>
  </si>
  <si>
    <t>Common Place Name (if applicable to location)</t>
  </si>
  <si>
    <t>Hazard information</t>
  </si>
  <si>
    <t>Pre-plan number reference for ease of retrieval from mobile device</t>
  </si>
  <si>
    <t>Units recommended (including those in move-up/cover status)</t>
  </si>
  <si>
    <t>Units dispatched (including those in move-up/cover status)</t>
  </si>
  <si>
    <t>Hydrant information for the closest 3 hydrants (including flow rate, size, and service status)</t>
  </si>
  <si>
    <t>Running order</t>
  </si>
  <si>
    <t>Fire Management Zone</t>
  </si>
  <si>
    <t>Map page</t>
  </si>
  <si>
    <t>Gate code information</t>
  </si>
  <si>
    <t>Knox Box location</t>
  </si>
  <si>
    <t>Hydrant information will be displayed on the mobile map, if the mobile map module is installed.</t>
  </si>
  <si>
    <t>Hydrants selected as closest are determined by closest address.</t>
  </si>
  <si>
    <t>Hydrants selected as closest are determined by closest intersection.</t>
  </si>
  <si>
    <t>The number of Rip and Run records generated allow for agency configuration of 1 document per station.</t>
  </si>
  <si>
    <t>The number of Rip and Run records generated allow for agency configuration 1 document per unit dispatched.</t>
  </si>
  <si>
    <t>Rip and Run system allows for cleared/closed call print outs to be sent, as determined by an authorized user.</t>
  </si>
  <si>
    <t>Connectivity to the Rip and Run printers can utilize:</t>
  </si>
  <si>
    <t>VPN</t>
  </si>
  <si>
    <t>FAX</t>
  </si>
  <si>
    <t>dial-up</t>
  </si>
  <si>
    <t>e-mail</t>
  </si>
  <si>
    <t>alphanumeric paging</t>
  </si>
  <si>
    <t>Description of Capability
CAD Interface Site Security System</t>
  </si>
  <si>
    <t>CAD Interface Site Security System</t>
  </si>
  <si>
    <t>ISiteS</t>
  </si>
  <si>
    <t>The system interfaces to site security system(s), i.e. personnel entering/exiting buildings/stations with the primary purpose of tracking personnel within the stations.</t>
  </si>
  <si>
    <t>Description of Capability
CAD Interface Staffing</t>
  </si>
  <si>
    <t>CAD Interface Staffing</t>
  </si>
  <si>
    <t>IStaff</t>
  </si>
  <si>
    <t xml:space="preserve">The system provides a two way interface with Kronos® TeleStaff™ automated scheduling solution. </t>
  </si>
  <si>
    <t>The staffing system will interface with the proposed CAD, LERMS, FRMS, CMS and mobile applications.</t>
  </si>
  <si>
    <t>Provide a means for automatic transfer of personnel scheduling/staffing data from TeleStaff to the CAD system in real time.</t>
  </si>
  <si>
    <t>Provide a means for automatic transfer of personnel scheduling/staffing data from TeleStaff to the LERMS system.</t>
  </si>
  <si>
    <t>Provide a means for automatic transfer of personnel scheduling/staffing data from TeleStaff to the FRMS system.</t>
  </si>
  <si>
    <t>Provide a means for automatic transfer of personnel scheduling/staffing data from TeleStaff to the CMS system.</t>
  </si>
  <si>
    <t>The interface allows the user to determine the frequency of the automatic transfer of the personnel duty rosters.</t>
  </si>
  <si>
    <t>The interface allows the user to determine the frequency of automatic updates to the personnel duty rosters.</t>
  </si>
  <si>
    <t>The interface allows the update of personnel data from TeleStaff to the CAD personnel file by an authorized user.</t>
  </si>
  <si>
    <t>The interface allows the update of personnel data from TeleStaff to the LERMS personnel file by an authorized user.</t>
  </si>
  <si>
    <t>The interface allows the update of personnel data from TeleStaff to the FRMS personnel file by an authorized user.</t>
  </si>
  <si>
    <t>The interface allows the update of personnel data from TeleStaff to the CMS personnel file by an authorized user.</t>
  </si>
  <si>
    <t>The updates will only include additions or modifications to the personnel records.</t>
  </si>
  <si>
    <t>The interface allows the transfer of personnel data from TeleStaff to the FRMS personnel file.</t>
  </si>
  <si>
    <t>The interface allows the transfer of personnel data from TeleStaff to the CMS personnel file.</t>
  </si>
  <si>
    <t>The system provides access to the TeleStaff personnel data from CAD.</t>
  </si>
  <si>
    <t>The system provides access to the TeleStaff personnel data from LERMS.</t>
  </si>
  <si>
    <t>The system provides access to the TeleStaff personnel data from FRMS.</t>
  </si>
  <si>
    <t>The system provides access to the TeleStaff personnel data from CMS.</t>
  </si>
  <si>
    <t>Provide a means for personnel to be placed in service in the CAD system based on their schedule within TeleStaff.</t>
  </si>
  <si>
    <t>Provides a means for units to be placed in service in the CAD system based on personnel scheduled within TeleStaff.</t>
  </si>
  <si>
    <t>Automatically activate the units whose schedule indicates that they are to be in service by placing them in a pre-defined Roll Call status.</t>
  </si>
  <si>
    <t>The system allows the configuration of automatically placing units in service based on personnel scheduled within TeleStaff.</t>
  </si>
  <si>
    <t>Automatically send a message or email to a specified Group anytime a unit/officer cannot be placed on duty.</t>
  </si>
  <si>
    <t>The system will support placing units in service:</t>
  </si>
  <si>
    <t>Law units</t>
  </si>
  <si>
    <t>Fire units</t>
  </si>
  <si>
    <t>Rescue units</t>
  </si>
  <si>
    <t xml:space="preserve">Automatically keeps an audit trail of all scheduling/staffing changes. </t>
  </si>
  <si>
    <t>Shows staffing/scheduling of units on a graphical personal calendar.</t>
  </si>
  <si>
    <t>FRMS Staffing</t>
  </si>
  <si>
    <t>The staffing system will interface with the selected CAD / RMS system.</t>
  </si>
  <si>
    <t>The staffing interface will have the ability to adjust unit / apparatus type based on agency defined staffing rules (i.e. available manpower, personnel skill sets such as paramedic qualifications, etc.).</t>
  </si>
  <si>
    <t>The system allows the view of the daily schedule by groupings.</t>
  </si>
  <si>
    <t>The groupings include, but not limited to:</t>
  </si>
  <si>
    <t>Battalion staffing</t>
  </si>
  <si>
    <t>Battalion staffing by station</t>
  </si>
  <si>
    <t>Division</t>
  </si>
  <si>
    <t>E-mail</t>
  </si>
  <si>
    <t>Agency Defined Groups (i.e. bureaus, special task force, etc.)</t>
  </si>
  <si>
    <t>Vacancies</t>
  </si>
  <si>
    <t>Vacancies by station</t>
  </si>
  <si>
    <t>Vacancies by Battalion</t>
  </si>
  <si>
    <t>Vacancies by Division</t>
  </si>
  <si>
    <t>The system shall allow any active workstation to print to any printer available on the network.</t>
  </si>
  <si>
    <t>Vacancies by Rank</t>
  </si>
  <si>
    <t>Vacancies by Group</t>
  </si>
  <si>
    <t>Vacancies by special skills or certifications</t>
  </si>
  <si>
    <t>Vacancies by leave type</t>
  </si>
  <si>
    <t>Record exceptions to all schedules</t>
  </si>
  <si>
    <t>Verify certifications/license expiration</t>
  </si>
  <si>
    <t>View the list if qualified and available candidates according to department staffing rules.</t>
  </si>
  <si>
    <t>Display promotional and out-of-class lists</t>
  </si>
  <si>
    <t>Display warnings when staffing levels are below the requirements where special skills are needed.</t>
  </si>
  <si>
    <t>Obtain work status information per individual employee</t>
  </si>
  <si>
    <t>View staff selection process and audit trails for staff selection process</t>
  </si>
  <si>
    <t>The system will capture employee information.</t>
  </si>
  <si>
    <t>The employee information includes, but is not limited to:</t>
  </si>
  <si>
    <t>City employee number</t>
  </si>
  <si>
    <t>Two or more Phone numbers</t>
  </si>
  <si>
    <t>Work status</t>
  </si>
  <si>
    <t>Rank</t>
  </si>
  <si>
    <t>Hire date</t>
  </si>
  <si>
    <t>Promotion date</t>
  </si>
  <si>
    <t>The system will use configurable rules to fill vacant positions.</t>
  </si>
  <si>
    <t>The system's business rules will be configurable by the application administrator (not hard coded).</t>
  </si>
  <si>
    <t>The system will prioritize the list of qualified and available candidates according to the business rules.</t>
  </si>
  <si>
    <t>The system will automatically call candidates without human intervention.</t>
  </si>
  <si>
    <t>The system will be flexible in that it will allow for an individual to call staff personally.</t>
  </si>
  <si>
    <t>The system will be configurable to allow or not allow the holdover of personnel.</t>
  </si>
  <si>
    <t>The system will allow deployment and staffing of special units for special events or incidents.</t>
  </si>
  <si>
    <t>Staffing rules will be end-user modifiable.</t>
  </si>
  <si>
    <t>The system will keep an accurate roster at all times.</t>
  </si>
  <si>
    <t>The system will record exceptions to work schedules immediately after a user enters their exception by telephone or PC.</t>
  </si>
  <si>
    <t>The system will create a vacancy immediately after an exception has been entered and the roster is updated.</t>
  </si>
  <si>
    <t>The system will react immediately to vacancies caused by work exceptions and automatically identify the appropriate replacement personnel.</t>
  </si>
  <si>
    <t>The system will automatically notify supervisors to warn them of any unfilled/open positions.</t>
  </si>
  <si>
    <t>The system will allow department-recorded messages to be sent.</t>
  </si>
  <si>
    <t>The system will allow for delivery of messages to select or all employees.</t>
  </si>
  <si>
    <t>The system must be able to send notifications to personnel by:</t>
  </si>
  <si>
    <t>Telephone</t>
  </si>
  <si>
    <t>Voice-mail</t>
  </si>
  <si>
    <t>Cell phones and PDA devices (i.e. Blackberry)</t>
  </si>
  <si>
    <t>Pager</t>
  </si>
  <si>
    <t>The system will allow  an unlimited number of user-defined working and non-working codes.</t>
  </si>
  <si>
    <t>The system must allow detailed constraints for each code such as:</t>
  </si>
  <si>
    <t>Advance notice</t>
  </si>
  <si>
    <t>Supervisor approval</t>
  </si>
  <si>
    <t>The system must allow temporary duty assignments for administrators allowing individuals to have higher security access for a specified time period.</t>
  </si>
  <si>
    <t>The system must maintain and report on all system activity, including but not limited to:</t>
  </si>
  <si>
    <t>Daily roster information (who is scheduled to work)</t>
  </si>
  <si>
    <t>Work schedule by individual</t>
  </si>
  <si>
    <t>Overtime accrued</t>
  </si>
  <si>
    <t>Sick leave used</t>
  </si>
  <si>
    <t>Vacation used</t>
  </si>
  <si>
    <t>Security audits</t>
  </si>
  <si>
    <t>System utilization</t>
  </si>
  <si>
    <t>Telephone access</t>
  </si>
  <si>
    <t>Unlimited number of agency defined codes</t>
  </si>
  <si>
    <t>PC login access</t>
  </si>
  <si>
    <t>Integrated Staffing System Requirements</t>
  </si>
  <si>
    <t>The system will include an integrated Interactive Voice Response (IVR) telephone system capable of multiple telephone lines.</t>
  </si>
  <si>
    <t>The system will allow for utilizing multiple lines concurrently.</t>
  </si>
  <si>
    <t>The IVR system will allow for access to features based on user ID and password security.</t>
  </si>
  <si>
    <t>The telephone IVR application will be accessible from any touch-tone phone.</t>
  </si>
  <si>
    <t>The telephone IVR application will be flexible to record and send department-recorded messages to individuals, groups, and all users.</t>
  </si>
  <si>
    <t>The system will include in the telephone application comprehensive telephone security which will allow users access to only those functions identified by administrators.</t>
  </si>
  <si>
    <t>The telephone IVR application will allow users to send recorded schedule work exceptions.</t>
  </si>
  <si>
    <t>The telephone IVR application will allow users to obtain employee work status information.</t>
  </si>
  <si>
    <t>The system will put out a flat-file to be imported into other systems, including payroll.</t>
  </si>
  <si>
    <t>The system will be able to be hosted by the City.</t>
  </si>
  <si>
    <t>The system will minimize the amount of keyboard use and enforce data input consistency by providing look up tables, drop-down menus, and pick lists to permit the completion of most activities with a few keystrokes.</t>
  </si>
  <si>
    <t>During data entry, the system will ensure that all mandatory data items are captured and automatically display error conditions to the user.</t>
  </si>
  <si>
    <t>Font size should be adjustable by user.</t>
  </si>
  <si>
    <t>The system will support the printing of pre-defined reports.</t>
  </si>
  <si>
    <t>The system will have the ability to produce ad hoc reports based on user-defined criteria.</t>
  </si>
  <si>
    <t>The system will have the ability to select query options from one or more database tables.</t>
  </si>
  <si>
    <t>The system will allow the end user to define the sequence of the data being printed.</t>
  </si>
  <si>
    <t>The system will allow for integration with 3rd party reporting software (i.e. Crystal Reports).</t>
  </si>
  <si>
    <t>The system will allow the end user to save reports built with the ad hoc report module for future printings.</t>
  </si>
  <si>
    <t>The system will allow the end user to save and modify the current report once a report has been built for future printing.</t>
  </si>
  <si>
    <t>The system will allow the end user to schedule reports for overnight or batch processing.</t>
  </si>
  <si>
    <t>The system will allow the end user to export output to multiple 3rd party applications such as PDF, MS Excel or Word.</t>
  </si>
  <si>
    <t>The system will support daily business at numerous City locations with at least 100 or more concurrent users.</t>
  </si>
  <si>
    <t>The system will have word-wrap features like a traditional word processor (i.e. Microsoft Word), when entering text.  This applies to all modules where text/comments are entered.</t>
  </si>
  <si>
    <t>The system will allow users to customize the dictionary to include industry-specific vernacular.</t>
  </si>
  <si>
    <t>The system will have a similar "look and feel" in terms of navigation/use on all system modules.</t>
  </si>
  <si>
    <t>The system will enable the end user to have multiple screens/panels open and/or minimized at the same time rather than having to exit one before using another.</t>
  </si>
  <si>
    <t>All functions described in the requirements will be accessible from within the same executable.</t>
  </si>
  <si>
    <t>The system will be self-contained in its own workspace (i.e. forms are placed off the initially defined workspace, horizontal and/or vertical scroll bars must appear allowing the forms to be scrolled within view).</t>
  </si>
  <si>
    <t>The system will allow staff to automatically transition to other system functions, screens, databases via tool bar menu/icon selection without having to return to a main menu.</t>
  </si>
  <si>
    <t>The system will include a menu item that arranges all icons within a workspace.</t>
  </si>
  <si>
    <t>The system will enable the user to access help information without exiting the active transaction.</t>
  </si>
  <si>
    <t>The user's manual will be available online including a table of contents, index, search capability and hypertext links.</t>
  </si>
  <si>
    <t>The system will support comprehensive context sensitive "Help" for all screens and functions.</t>
  </si>
  <si>
    <t>The software will  include a comprehensive user's manual documenting all operations of the software.  Manuals must include sample reports, screen illustrations and instructions, and provide a step-by-step training aid to tech non-technical operations and administrative personnel to operate the software.</t>
  </si>
  <si>
    <t>The system will support the establishment, monitoring and enforcement of appropriate system security capabilities.  The proposed system shall maintain the  integrity and validity of information through the use of its own security features, network security features, DBMS security features, etc.</t>
  </si>
  <si>
    <t>The system's Database Administration Module will provide for the development of user accounts and provide user and password protection.  Multiple levels of user security must be available that provide for read-only access, read-write access, update access, and printing.</t>
  </si>
  <si>
    <t>Database administration functions will provide the ability to selectively "lock" certain database tables.</t>
  </si>
  <si>
    <t>The system allow the system administrator to enforce unique passwords per user and to have user passwords expire after a specified number of days.</t>
  </si>
  <si>
    <t>The system will enable the system administrator to easily create new security levels (including the ability to create, store and assign user groups having similar access capabilities) and/or modify existing ones.</t>
  </si>
  <si>
    <t>The system will provide a Database Administration Module to allow a system administrator to control security, maintenance of tables, backups, etc.</t>
  </si>
  <si>
    <t>The system will display adequate error messages if user is attempting to access transactions without the proper authority.</t>
  </si>
  <si>
    <t>The system will allow users to edit data input in accordance with previously established access rights.</t>
  </si>
  <si>
    <t>The system will provide adequate security functions to handle Web-based transactions without compromising the integrity of the system.</t>
  </si>
  <si>
    <t>The system will support full auditing capabilities and accountability for all transactions processed through the system.</t>
  </si>
  <si>
    <t>The system will capture user transaction history (i.e. transaction name, user ID, time stamp, etc).</t>
  </si>
  <si>
    <t>The system will allow users to view the history (i.e. all modifications made) of any record, based on their access level.</t>
  </si>
  <si>
    <t>The system will only display buttons on the toolbar that the user has access to perform.</t>
  </si>
  <si>
    <t xml:space="preserve">The system will be capable of displaying only those modules and pull-down menus that the user is authorized to access, as defined in the Database Administration Module.  Based on a user's ID and password, pull-down menus must be custom displayed at the user's workstation.  If changed, the user's pull-down menus must also change. </t>
  </si>
  <si>
    <t>The system will provide screen level security.</t>
  </si>
  <si>
    <t>The system will leverage industry standard technologies to ensure functional interoperability.</t>
  </si>
  <si>
    <t>Description of Capability
CAD Interface LE State / NCIC Interface</t>
  </si>
  <si>
    <t>CAD Interface LE State / NCIC</t>
  </si>
  <si>
    <t>INCIC</t>
  </si>
  <si>
    <t xml:space="preserve">The interface supports interface communication between CAD and the National Crime Information Center (NCIC). </t>
  </si>
  <si>
    <t xml:space="preserve">The system supports interface communication between CAD and the National Law Enforcement Telecommunications System (NLETS). </t>
  </si>
  <si>
    <t>The system is able to direct a query to State, NCIC and local databases using a single query.</t>
  </si>
  <si>
    <t>The system adheres to the level of security required by CJIS for the submission of inquiries.</t>
  </si>
  <si>
    <t>The system adheres to the level of security required by the State for the submission of inquiries.</t>
  </si>
  <si>
    <t xml:space="preserve">The system can authorize individual clients access to the State/NCIC application. </t>
  </si>
  <si>
    <t xml:space="preserve">The system can authorize individual workstations access to the State/NCIC application. </t>
  </si>
  <si>
    <t>The system can restrict the communication capabilities to external databases to inquiry only.</t>
  </si>
  <si>
    <t>The following transactions can be performed, at a minimum:</t>
  </si>
  <si>
    <t>Vehicle registration</t>
  </si>
  <si>
    <t>Drivers license</t>
  </si>
  <si>
    <t>Vehicle identification number (VIN)</t>
  </si>
  <si>
    <t>Stolen vehicles</t>
  </si>
  <si>
    <t>Wanted persons</t>
  </si>
  <si>
    <t>Criminal history</t>
  </si>
  <si>
    <t>Warrants</t>
  </si>
  <si>
    <t>Drivers History</t>
  </si>
  <si>
    <t>The system will automatically submit DMV ( or Secretary of State), State, and NCIC transactions during the entry of the data into the system.  For example, the data collected and entered into CAD during a vehicle traffic stop.</t>
  </si>
  <si>
    <t xml:space="preserve">The system allows information contained in a response to auto-populate a new online query for additional information to submit to NCIC. </t>
  </si>
  <si>
    <t>The system can automatically submit State and NCIC transactions based on data returned during initial transactions to external databases.  For example, automatic submission to State and NCIC of the owner's information from a registration check.</t>
  </si>
  <si>
    <t>The interface provides or supports an online interface from the CAD application to the State / NCIC database.</t>
  </si>
  <si>
    <t>The system has the ability to automatically attach the results of a State / NCIC inquiry to the CAD incident.</t>
  </si>
  <si>
    <t>The Mobile Data system has the ability to restrict returned data from Local / State / NCIC from being attached to the incident/call database.</t>
  </si>
  <si>
    <t>The system is able to automatically transmit license plate information entered into the CAD system as an inquiry transaction to the State / NCIC system based on CFS type.</t>
  </si>
  <si>
    <t>The system is able to automatically transmit drivers license information entered into the CAD system as an inquiry transaction to the State / NCIC system based on CFS type.</t>
  </si>
  <si>
    <t>All automatic transmissions that are attached to a CFS must be logged on the call and accessible.</t>
  </si>
  <si>
    <t>All responses that can be matched to the original transmission and are attached to a CFS will be logged on the call in the same area as the transmissions.</t>
  </si>
  <si>
    <t xml:space="preserve">The system is able to specify security access permissions for any request format. </t>
  </si>
  <si>
    <t xml:space="preserve">The system logs all transactions in a history file for viewing and reporting purposes, for authorized user(s). </t>
  </si>
  <si>
    <t xml:space="preserve">An authorized user can search for State / NCIC responses by date / time range. </t>
  </si>
  <si>
    <t xml:space="preserve">An authorized user can search for State / NCIC responses by User ID. </t>
  </si>
  <si>
    <t xml:space="preserve">An authorized user can search for State / NCIC responses by transaction type. </t>
  </si>
  <si>
    <t>An authorized user can search for State / NCIC responses by any inquired data element.</t>
  </si>
  <si>
    <t xml:space="preserve">The system can print messages received via a State / NCIC request/response. </t>
  </si>
  <si>
    <t xml:space="preserve">The system can disallow the automatic printing of State / NCIC data with the CAD system record. </t>
  </si>
  <si>
    <t>The system has the ability to be configured so that State / NCIC data can only be viewed by an authorized user.</t>
  </si>
  <si>
    <t>The system can be configured to never include State / NCIC data on sent reports.</t>
  </si>
  <si>
    <t>The system can be configured to never include State / NCIC data on printed reports.</t>
  </si>
  <si>
    <t>The system can be configured that on events shared between disciplines the State / NCIC data is not available for viewing by the Fire or EMS disciplines.</t>
  </si>
  <si>
    <t xml:space="preserve">The system allows State / NCIC messages to be sent to specified units. </t>
  </si>
  <si>
    <t>The system can be configured to allow State / NCIC messages to be included in the data sent to the law enforcement RMS.</t>
  </si>
  <si>
    <t>The system allows for the editing of the data string that is sent to the local, state, or NCIC system in order to meet State transaction requirements.</t>
  </si>
  <si>
    <t>The system allows only an authorized user to access State / NCIC forms within CAD.</t>
  </si>
  <si>
    <t>The system allows only an authorized user to access State / NCIC history within CAD.</t>
  </si>
  <si>
    <t>The system allows only an authorized user to access State / NCIC forms within LERMS.</t>
  </si>
  <si>
    <t>The system allows only an authorized user to access State / NCIC history within LERMS.</t>
  </si>
  <si>
    <t>The system allows only an authorized user to access State / NCIC forms within JMS.</t>
  </si>
  <si>
    <t>The system allows only an authorized user to access State / NCIC history within JMS.</t>
  </si>
  <si>
    <t>Description of Capability
CAD Interface TDD / TTY</t>
  </si>
  <si>
    <t>CAD Interface TDD / TDY</t>
  </si>
  <si>
    <t>ITDD</t>
  </si>
  <si>
    <t>The system attaches the TDD / TTY dialog from the Customer's E9-1-1 answering positions to the CAD event.</t>
  </si>
  <si>
    <t>The CAD keyboard / mouse is used for communication with the TDD / TTY interface.</t>
  </si>
  <si>
    <t xml:space="preserve">The TDD / TTY interface window opens automatically when an incoming call is detected.  </t>
  </si>
  <si>
    <t xml:space="preserve">The TDD / TTY interface window displays the caller and the Emergency Call Taker's conversation separately as it takes place (real-time). </t>
  </si>
  <si>
    <t xml:space="preserve">The TDD / TTY interface window displays the caller and the Emergency Call Taker's conversation as different colors of text. </t>
  </si>
  <si>
    <t>The TDD / TTY interface window contains all the user pre-programmable messages grouped into related categories.</t>
  </si>
  <si>
    <t>The TDD / TTY interfaces to the third party dispatch protocol software (e.g. Powerphone, APCO, ProQA)</t>
  </si>
  <si>
    <t>The TDD / TTY interface to the third party dispatch protocol software allows:</t>
  </si>
  <si>
    <t>The call taker to transmit the appropriate protocol questions to the caller for answering.</t>
  </si>
  <si>
    <t>The call taker can transmit the appropriate pre-arrival instructions to the caller.</t>
  </si>
  <si>
    <t>Description of Capability
CAD Interface Web CAD</t>
  </si>
  <si>
    <t>CAD Interface Web CAD</t>
  </si>
  <si>
    <t>IWeb</t>
  </si>
  <si>
    <t>The WebCAD Interface is capable of utilizing Advanced Encryption Standard (AES) without degradation of system throughput.</t>
  </si>
  <si>
    <t>The WebCAD interface supports end-to-end 192 bit encryption, at a minimum.</t>
  </si>
  <si>
    <t>The WebCAD interface supports the use of CJIS Advanced Authentication security measures for user and device log on verification.</t>
  </si>
  <si>
    <t>An authorized user determines user restrictions for access to CAD system related databases.</t>
  </si>
  <si>
    <t>An authorized user determines terminal restrictions for access to CAD system related databases.</t>
  </si>
  <si>
    <t>The WebCAD interface utilized browser based technology to access CAD related databases via the Internet.</t>
  </si>
  <si>
    <t>Remote terminals accessing CAD related data via WebCAD use COTS software.  Proprietary client software is not required at the remote terminal.</t>
  </si>
  <si>
    <t>Access to CAD related data can be restricted to inquiry only.</t>
  </si>
  <si>
    <t>Data accessed via WebCAD can be restricted to the discipline level e.g., EMS, Fire, Law Enforcement</t>
  </si>
  <si>
    <t>Data accessed via WebCAD can be restricted to the agency / municipal level, i.e., Police of agency A cannot view or access the data for Police of agency B.</t>
  </si>
  <si>
    <t>The WebCAD interface supports the viewing of closed events.</t>
  </si>
  <si>
    <t>The system provides the ability to access WebCAD via mobile devices such as smartphones, PDAs, tablets, etc.</t>
  </si>
  <si>
    <t>The system provides the same level of user-associated security in WebCAD as with local client logons.</t>
  </si>
  <si>
    <t>The WebCAD interface allows an authorized user to:</t>
  </si>
  <si>
    <t>View active events, including:</t>
  </si>
  <si>
    <t>nature of call</t>
  </si>
  <si>
    <t>unit status</t>
  </si>
  <si>
    <t>unit(s) dispatched</t>
  </si>
  <si>
    <t>associated notes</t>
  </si>
  <si>
    <t>View unit status</t>
  </si>
  <si>
    <t>View pending events</t>
  </si>
  <si>
    <t>Close an event</t>
  </si>
  <si>
    <t>Add notes/narrative to active events</t>
  </si>
  <si>
    <t>Change unit status</t>
  </si>
  <si>
    <t>Log units on</t>
  </si>
  <si>
    <t>Log units off</t>
  </si>
  <si>
    <t>Dispatch or assign units to events</t>
  </si>
  <si>
    <t>Change unit capabilities</t>
  </si>
  <si>
    <t>Open closed events</t>
  </si>
  <si>
    <t>Add notes/narrative to closed events</t>
  </si>
  <si>
    <t>Run and print reports</t>
  </si>
  <si>
    <t>Based on "authorized user" language, above features can be restricted from any/all users.</t>
  </si>
  <si>
    <t>The system provides the ability to share limited incident information that can be accessed by the public via the internet to view current events (e.g. date/time, event type, street, name/intersection, etc).</t>
  </si>
  <si>
    <t>The system provides an interface with the Harris Symphony radio console to perform tone alert paging.</t>
  </si>
  <si>
    <t>Remote terminals accessing CAD related data via WebCAD are required to use VPN technology.</t>
  </si>
  <si>
    <t>The system provides an interface to the Customer's Harris Symphony Radio Console solution.</t>
  </si>
  <si>
    <t>The CAD system is capable of storing 'canned' messages that can be sent to the station alerting system.</t>
  </si>
  <si>
    <t>The system provides a one way interface to the Customer's fire station alerting solution, WestNet.</t>
  </si>
  <si>
    <t>The system supports HTTP protocol.</t>
  </si>
  <si>
    <t>The system supports HTTPS protocol.</t>
  </si>
  <si>
    <t>The system is capable of an interface to a ESO ePCR.</t>
  </si>
  <si>
    <t>Incident planning zones</t>
  </si>
  <si>
    <t>The mobile application allows users to launch the Customer's ESO ePCR application from within the mobile application.</t>
  </si>
  <si>
    <t>important</t>
  </si>
  <si>
    <t>The system uploads pertinent CAD incident data to Fire RMS.</t>
  </si>
  <si>
    <t>The system uploads pertinent CAD incident data to ESO ePCR.</t>
  </si>
  <si>
    <t>The system is capable of accepting a transfer of pre-plan data from FRMS.</t>
  </si>
  <si>
    <t>The system is capable of accepting a transfer of hydrant data from FRMS.</t>
  </si>
  <si>
    <t>Triggers to update an FRMS incident record include, but are not limited to:</t>
  </si>
  <si>
    <t>IFRMS</t>
  </si>
  <si>
    <t>Description of Capability
CAD Interface FRMS Software</t>
  </si>
  <si>
    <t>The system interfaces to a radio console to provide tone paging (e.g. Harris Symphony, Motorola MCC7500, Zetron).</t>
  </si>
  <si>
    <t>The system interfaces to a radio console to provide transmitter steering (e.g. Harris Symphony, Motorola MCC7500, Zetron).</t>
  </si>
  <si>
    <t>The system supports an interface to a third party Alarm Tracking and Billing module (e.g. FirstDue).</t>
  </si>
  <si>
    <t>The system provides a two way interface to the Customer's fire station alerting solution, WestNet.</t>
  </si>
  <si>
    <t>The system allows the ability for the Customer to interface with multiple fire station alerting solutions (e.g. WestNet, First In, Locution, Zetron, etc.) for mutual aid within or outside the County.</t>
  </si>
  <si>
    <t>The system allows concurrent alerting of stations to multiple events simultaneously by more than one dispatch position.</t>
  </si>
  <si>
    <t>In concurrent alerting of stations to multiple events simultaneously by more than one dispatch position, no information from one dispatcher interferes with information being sent from another.</t>
  </si>
  <si>
    <t>The WebCAD interface supports time stamp being added to narrative of any event.</t>
  </si>
  <si>
    <t>The WebCAD interface supports user name/profile information being added to narrative of any event.</t>
  </si>
  <si>
    <t>unit times</t>
  </si>
  <si>
    <t>The system interfaces to a radio console to provide transmitter steering (e.g. Harris Symphony, Motorola MCC7500).</t>
  </si>
  <si>
    <t>The system interfaces to a radio console to provide tone paging (e.g. Harris Symphony, Motorola MCC7500).</t>
  </si>
  <si>
    <t>The CAD system is capable of receiving a heartbeat from Harris Symphony.</t>
  </si>
  <si>
    <t>The CAD system is capable of sending commands to Harris for the control of radios.</t>
  </si>
  <si>
    <t>Radio emergency messages received from Harris will be displayed on the main street centerline layer.</t>
  </si>
  <si>
    <t>Radio emergency messages received from Harris will be displayed in real time on the map.</t>
  </si>
  <si>
    <t>Radio emergency messages received from Harris will be displayed on all CAD maps.</t>
  </si>
  <si>
    <t xml:space="preserve">The system is capable of a mapping interface with the Customer's Genesis GenWatch3 server allowing the formatting and filtering engine Harris to send radio unit data from the Harris radio system to the CAD system.  </t>
  </si>
  <si>
    <t>User defined fields</t>
  </si>
  <si>
    <t>The system can interface with the Tyler CAD System.</t>
  </si>
  <si>
    <t>The system can interface with the Central Square CAD System.</t>
  </si>
  <si>
    <t>The system can interface with the Hexagon CAD System.</t>
  </si>
  <si>
    <t>The system can interface with the Motorola's Premier CAD System.</t>
  </si>
  <si>
    <t>The system provides for the ability for the Dispatch Protocol Application (Medical, Fire, and Police) application to load and allow data entry within two seconds or less.</t>
  </si>
  <si>
    <t>The system has the ability to support a one-way interface from CAD to any Reverse 9-1-1 System.</t>
  </si>
  <si>
    <t>The system supports interface communication to State Law Enforcement.</t>
  </si>
  <si>
    <t>The system interfaces and can send data to the State Law Enforcement database.</t>
  </si>
  <si>
    <t>If the dispatch protocol software is being provided by the vendors CAD solution then it must provide scripted case entry for gathering vital information, to include, but not limited to:</t>
  </si>
  <si>
    <t>If the dispatch protocol software is being provided by the vendors CAD solution then it must provide scripted case entry for gathering vital medical information, to include, but not limited to:</t>
  </si>
  <si>
    <t>If the dispatch protocol software is being provided by the vendors CAD solution then it must provide patient condition codes for categorizing patients according to:</t>
  </si>
  <si>
    <t>CAD Interface Ticketing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</si>
</sst>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Times New Roman"/>
      <family val="1"/>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sz val="12"/>
      <name val="Arial"/>
      <family val="2"/>
    </font>
    <font>
      <sz val="12"/>
      <name val="Arial"/>
      <family val="2"/>
    </font>
    <font>
      <sz val="11"/>
      <name val="Arial"/>
      <family val="2"/>
    </font>
    <font>
      <b/>
      <sz val="11"/>
      <color theme="1"/>
      <name val="Calibri"/>
      <family val="2"/>
      <scheme val="minor"/>
    </font>
    <font>
      <sz val="7"/>
      <color theme="1"/>
      <name val="Calibri"/>
      <family val="2"/>
      <scheme val="minor"/>
    </font>
    <font>
      <sz val="9"/>
      <name val="Arial"/>
      <family val="2"/>
    </font>
    <font>
      <sz val="12"/>
      <color theme="1"/>
      <name val="Arial"/>
      <family val="2"/>
    </font>
    <font>
      <b/>
      <sz val="12"/>
      <name val="Calibri"/>
      <family val="2"/>
      <scheme val="minor"/>
    </font>
    <font>
      <b/>
      <u/>
      <sz val="11"/>
      <color theme="1"/>
      <name val="Calibri"/>
      <family val="2"/>
      <scheme val="minor"/>
    </font>
    <font>
      <b/>
      <u/>
      <sz val="11"/>
      <name val="Calibri"/>
      <family val="2"/>
      <scheme val="minor"/>
    </font>
    <font>
      <b/>
      <sz val="14"/>
      <name val="Calibri"/>
      <family val="2"/>
      <scheme val="minor"/>
    </font>
    <font>
      <sz val="11"/>
      <color theme="1"/>
      <name val="Calibri"/>
      <family val="2"/>
      <scheme val="minor"/>
    </font>
    <font>
      <sz val="11"/>
      <name val="Times New Roman"/>
      <family val="1"/>
    </font>
    <font>
      <sz val="11"/>
      <color indexed="8"/>
      <name val="Arial"/>
      <family val="2"/>
    </font>
    <font>
      <vertAlign val="superscript"/>
      <sz val="11"/>
      <name val="Arial"/>
      <family val="2"/>
    </font>
    <font>
      <sz val="12"/>
      <color indexed="8"/>
      <name val="Arial"/>
      <family val="2"/>
    </font>
    <font>
      <b/>
      <u/>
      <sz val="16"/>
      <name val="Arial"/>
      <family val="2"/>
    </font>
    <font>
      <b/>
      <sz val="14"/>
      <name val="Arial"/>
      <family val="2"/>
    </font>
    <font>
      <sz val="11"/>
      <name val="Arial"/>
      <family val="2"/>
    </font>
    <font>
      <sz val="12"/>
      <name val="Arial"/>
      <family val="2"/>
    </font>
    <font>
      <sz val="11"/>
      <name val="Arial"/>
    </font>
    <font>
      <sz val="12"/>
      <name val="Arial"/>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medium">
        <color indexed="64"/>
      </top>
      <bottom style="thin">
        <color indexed="64"/>
      </bottom>
      <diagonal/>
    </border>
    <border>
      <left/>
      <right style="thin">
        <color auto="1"/>
      </right>
      <top/>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indexed="64"/>
      </left>
      <right style="dashed">
        <color theme="0" tint="-0.499984740745262"/>
      </right>
      <top style="thin">
        <color indexed="64"/>
      </top>
      <bottom style="dashed">
        <color theme="0" tint="-0.499984740745262"/>
      </bottom>
      <diagonal/>
    </border>
    <border>
      <left style="dashed">
        <color theme="0" tint="-0.499984740745262"/>
      </left>
      <right style="dashed">
        <color theme="0" tint="-0.499984740745262"/>
      </right>
      <top style="thin">
        <color indexed="64"/>
      </top>
      <bottom style="dashed">
        <color theme="0" tint="-0.499984740745262"/>
      </bottom>
      <diagonal/>
    </border>
    <border>
      <left style="dashed">
        <color theme="0" tint="-0.499984740745262"/>
      </left>
      <right style="thin">
        <color indexed="64"/>
      </right>
      <top style="thin">
        <color indexed="64"/>
      </top>
      <bottom style="dashed">
        <color theme="0" tint="-0.499984740745262"/>
      </bottom>
      <diagonal/>
    </border>
    <border>
      <left style="thin">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thin">
        <color indexed="64"/>
      </right>
      <top style="dashed">
        <color theme="0" tint="-0.499984740745262"/>
      </top>
      <bottom style="dashed">
        <color theme="0" tint="-0.499984740745262"/>
      </bottom>
      <diagonal/>
    </border>
    <border>
      <left style="thin">
        <color indexed="64"/>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style="dashed">
        <color theme="0" tint="-0.499984740745262"/>
      </top>
      <bottom style="thin">
        <color indexed="64"/>
      </bottom>
      <diagonal/>
    </border>
    <border>
      <left style="dashed">
        <color theme="0" tint="-0.499984740745262"/>
      </left>
      <right style="thin">
        <color indexed="64"/>
      </right>
      <top style="dashed">
        <color theme="0" tint="-0.499984740745262"/>
      </top>
      <bottom style="thin">
        <color indexed="64"/>
      </bottom>
      <diagonal/>
    </border>
    <border>
      <left style="thin">
        <color indexed="64"/>
      </left>
      <right style="dashed">
        <color theme="0" tint="-0.499984740745262"/>
      </right>
      <top/>
      <bottom style="dashed">
        <color theme="0" tint="-0.499984740745262"/>
      </bottom>
      <diagonal/>
    </border>
    <border>
      <left style="dashed">
        <color theme="0" tint="-0.499984740745262"/>
      </left>
      <right style="thin">
        <color indexed="64"/>
      </right>
      <top/>
      <bottom style="dashed">
        <color theme="0" tint="-0.499984740745262"/>
      </bottom>
      <diagonal/>
    </border>
    <border>
      <left style="dashed">
        <color theme="0" tint="-0.499984740745262"/>
      </left>
      <right style="dashed">
        <color theme="0" tint="-0.499984740745262"/>
      </right>
      <top/>
      <bottom/>
      <diagonal/>
    </border>
    <border>
      <left style="dashed">
        <color theme="0" tint="-0.499984740745262"/>
      </left>
      <right style="thin">
        <color indexed="64"/>
      </right>
      <top style="dashed">
        <color theme="0" tint="-0.499984740745262"/>
      </top>
      <bottom/>
      <diagonal/>
    </border>
    <border>
      <left style="thin">
        <color indexed="64"/>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ashed">
        <color theme="0" tint="-0.499984740745262"/>
      </left>
      <right/>
      <top style="dashed">
        <color theme="0" tint="-0.499984740745262"/>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dashed">
        <color theme="1" tint="0.14999847407452621"/>
      </left>
      <right/>
      <top style="dashed">
        <color theme="1" tint="0.14999847407452621"/>
      </top>
      <bottom/>
      <diagonal/>
    </border>
    <border>
      <left/>
      <right/>
      <top style="dashed">
        <color theme="1" tint="0.14999847407452621"/>
      </top>
      <bottom/>
      <diagonal/>
    </border>
    <border>
      <left/>
      <right style="dashed">
        <color theme="1" tint="0.14999847407452621"/>
      </right>
      <top style="dashed">
        <color theme="1" tint="0.14999847407452621"/>
      </top>
      <bottom/>
      <diagonal/>
    </border>
    <border>
      <left style="dashed">
        <color theme="1" tint="0.14999847407452621"/>
      </left>
      <right/>
      <top/>
      <bottom/>
      <diagonal/>
    </border>
    <border>
      <left/>
      <right style="dashed">
        <color theme="1" tint="0.14999847407452621"/>
      </right>
      <top/>
      <bottom/>
      <diagonal/>
    </border>
    <border>
      <left style="dashed">
        <color theme="1" tint="0.14999847407452621"/>
      </left>
      <right/>
      <top style="medium">
        <color indexed="64"/>
      </top>
      <bottom/>
      <diagonal/>
    </border>
    <border>
      <left style="dashed">
        <color theme="1" tint="0.14999847407452621"/>
      </left>
      <right/>
      <top/>
      <bottom style="medium">
        <color indexed="64"/>
      </bottom>
      <diagonal/>
    </border>
    <border>
      <left style="dashed">
        <color theme="1" tint="0.14999847407452621"/>
      </left>
      <right/>
      <top/>
      <bottom style="dashed">
        <color theme="1" tint="0.14999847407452621"/>
      </bottom>
      <diagonal/>
    </border>
    <border>
      <left/>
      <right/>
      <top/>
      <bottom style="dashed">
        <color theme="1" tint="0.14999847407452621"/>
      </bottom>
      <diagonal/>
    </border>
    <border>
      <left/>
      <right style="dashed">
        <color theme="1" tint="0.14999847407452621"/>
      </right>
      <top/>
      <bottom style="dashed">
        <color theme="1" tint="0.14999847407452621"/>
      </bottom>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theme="0" tint="-0.499984740745262"/>
      </right>
      <top style="dashed">
        <color theme="0" tint="-0.499984740745262"/>
      </top>
      <bottom style="medium">
        <color indexed="64"/>
      </bottom>
      <diagonal/>
    </border>
    <border>
      <left style="dashed">
        <color theme="0" tint="-0.499984740745262"/>
      </left>
      <right style="dashed">
        <color theme="0" tint="-0.499984740745262"/>
      </right>
      <top style="dashed">
        <color theme="0" tint="-0.499984740745262"/>
      </top>
      <bottom style="medium">
        <color indexed="64"/>
      </bottom>
      <diagonal/>
    </border>
    <border>
      <left style="dashed">
        <color theme="0" tint="-0.499984740745262"/>
      </left>
      <right style="thin">
        <color indexed="64"/>
      </right>
      <top style="dashed">
        <color theme="0" tint="-0.499984740745262"/>
      </top>
      <bottom style="medium">
        <color indexed="64"/>
      </bottom>
      <diagonal/>
    </border>
    <border>
      <left/>
      <right style="medium">
        <color indexed="64"/>
      </right>
      <top style="thin">
        <color indexed="64"/>
      </top>
      <bottom style="medium">
        <color indexed="64"/>
      </bottom>
      <diagonal/>
    </border>
    <border>
      <left style="dashed">
        <color theme="0" tint="-0.499984740745262"/>
      </left>
      <right style="thin">
        <color indexed="64"/>
      </right>
      <top/>
      <bottom/>
      <diagonal/>
    </border>
    <border>
      <left style="thin">
        <color indexed="64"/>
      </left>
      <right/>
      <top style="thin">
        <color indexed="64"/>
      </top>
      <bottom/>
      <diagonal/>
    </border>
    <border>
      <left style="thin">
        <color indexed="64"/>
      </left>
      <right style="dashed">
        <color theme="0" tint="-0.499984740745262"/>
      </right>
      <top/>
      <bottom/>
      <diagonal/>
    </border>
    <border>
      <left style="dashed">
        <color theme="0" tint="-0.499984740745262"/>
      </left>
      <right/>
      <top/>
      <bottom/>
      <diagonal/>
    </border>
    <border>
      <left style="dashed">
        <color theme="0" tint="-0.499984740745262"/>
      </left>
      <right style="thin">
        <color indexed="64"/>
      </right>
      <top/>
      <bottom style="medium">
        <color indexed="64"/>
      </bottom>
      <diagonal/>
    </border>
    <border>
      <left style="thin">
        <color indexed="64"/>
      </left>
      <right style="dashed">
        <color theme="0" tint="-0.499984740745262"/>
      </right>
      <top/>
      <bottom style="medium">
        <color indexed="64"/>
      </bottom>
      <diagonal/>
    </border>
    <border>
      <left style="dashed">
        <color theme="0" tint="-0.499984740745262"/>
      </left>
      <right style="dashed">
        <color theme="0" tint="-0.499984740745262"/>
      </right>
      <top/>
      <bottom style="medium">
        <color indexed="64"/>
      </bottom>
      <diagonal/>
    </border>
    <border>
      <left style="dashed">
        <color theme="0" tint="-0.499984740745262"/>
      </left>
      <right/>
      <top style="dashed">
        <color theme="0" tint="-0.499984740745262"/>
      </top>
      <bottom style="medium">
        <color indexed="64"/>
      </bottom>
      <diagonal/>
    </border>
    <border>
      <left style="thin">
        <color indexed="64"/>
      </left>
      <right/>
      <top style="medium">
        <color indexed="64"/>
      </top>
      <bottom style="thin">
        <color indexed="64"/>
      </bottom>
      <diagonal/>
    </border>
    <border>
      <left style="dashed">
        <color theme="0" tint="-0.499984740745262"/>
      </left>
      <right/>
      <top style="dashed">
        <color theme="0" tint="-0.499984740745262"/>
      </top>
      <bottom/>
      <diagonal/>
    </border>
    <border>
      <left style="hair">
        <color indexed="64"/>
      </left>
      <right style="hair">
        <color indexed="64"/>
      </right>
      <top style="hair">
        <color indexed="64"/>
      </top>
      <bottom style="hair">
        <color indexed="64"/>
      </bottom>
      <diagonal/>
    </border>
  </borders>
  <cellStyleXfs count="59">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23" borderId="7" applyNumberFormat="0" applyFont="0" applyAlignment="0" applyProtection="0"/>
    <xf numFmtId="0" fontId="2" fillId="23" borderId="41" applyNumberFormat="0" applyFont="0" applyAlignment="0" applyProtection="0"/>
    <xf numFmtId="0" fontId="17" fillId="20" borderId="42" applyNumberFormat="0" applyAlignment="0" applyProtection="0"/>
    <xf numFmtId="0" fontId="19" fillId="0" borderId="43" applyNumberFormat="0" applyFill="0" applyAlignment="0" applyProtection="0"/>
    <xf numFmtId="0" fontId="2" fillId="23" borderId="41" applyNumberFormat="0" applyFont="0" applyAlignment="0" applyProtection="0"/>
    <xf numFmtId="0" fontId="7" fillId="20" borderId="44" applyNumberFormat="0" applyAlignment="0" applyProtection="0"/>
    <xf numFmtId="0" fontId="14" fillId="7" borderId="44" applyNumberFormat="0" applyAlignment="0" applyProtection="0"/>
    <xf numFmtId="0" fontId="34" fillId="0" borderId="0"/>
    <xf numFmtId="0" fontId="1" fillId="0" borderId="0"/>
    <xf numFmtId="0" fontId="33" fillId="0" borderId="0"/>
    <xf numFmtId="0" fontId="2" fillId="0" borderId="0"/>
    <xf numFmtId="0" fontId="2" fillId="0" borderId="0"/>
    <xf numFmtId="0" fontId="33" fillId="0" borderId="0"/>
    <xf numFmtId="0" fontId="1" fillId="0" borderId="0"/>
  </cellStyleXfs>
  <cellXfs count="375">
    <xf numFmtId="0" fontId="0" fillId="0" borderId="0" xfId="0"/>
    <xf numFmtId="0" fontId="24" fillId="24" borderId="16" xfId="1" applyFont="1" applyFill="1" applyBorder="1" applyAlignment="1">
      <alignment horizontal="center" vertical="center"/>
    </xf>
    <xf numFmtId="0" fontId="24" fillId="0" borderId="14" xfId="1" applyFont="1" applyBorder="1" applyAlignment="1">
      <alignment horizontal="center" vertical="center"/>
    </xf>
    <xf numFmtId="0" fontId="24" fillId="24" borderId="17" xfId="1" applyFont="1" applyFill="1" applyBorder="1" applyAlignment="1">
      <alignment horizontal="center" vertical="center" wrapText="1"/>
    </xf>
    <xf numFmtId="0" fontId="21" fillId="0" borderId="10" xfId="39" applyBorder="1" applyAlignment="1">
      <alignment horizontal="center"/>
    </xf>
    <xf numFmtId="0" fontId="21" fillId="0" borderId="11" xfId="39" applyBorder="1" applyAlignment="1">
      <alignment horizontal="center"/>
    </xf>
    <xf numFmtId="0" fontId="21" fillId="0" borderId="12" xfId="39" applyBorder="1" applyAlignment="1">
      <alignment horizontal="center"/>
    </xf>
    <xf numFmtId="0" fontId="23" fillId="0" borderId="40" xfId="1" applyFont="1" applyBorder="1"/>
    <xf numFmtId="0" fontId="22" fillId="24" borderId="23" xfId="1" applyFont="1" applyFill="1" applyBorder="1" applyAlignment="1">
      <alignment vertical="center"/>
    </xf>
    <xf numFmtId="0" fontId="30" fillId="0" borderId="0" xfId="0" applyFont="1" applyAlignment="1">
      <alignment horizontal="center" wrapText="1"/>
    </xf>
    <xf numFmtId="0" fontId="31" fillId="24" borderId="13" xfId="1" applyFont="1" applyFill="1" applyBorder="1" applyAlignment="1">
      <alignment horizontal="center" wrapText="1"/>
    </xf>
    <xf numFmtId="0" fontId="0" fillId="0" borderId="13" xfId="0" applyBorder="1" applyAlignment="1">
      <alignment horizontal="center"/>
    </xf>
    <xf numFmtId="0" fontId="0" fillId="0" borderId="13" xfId="0" applyBorder="1" applyAlignment="1">
      <alignment horizontal="right"/>
    </xf>
    <xf numFmtId="0" fontId="3" fillId="0" borderId="0" xfId="39" applyFont="1" applyAlignment="1">
      <alignment horizontal="center"/>
    </xf>
    <xf numFmtId="0" fontId="3" fillId="0" borderId="55" xfId="39" applyFont="1" applyBorder="1"/>
    <xf numFmtId="0" fontId="21" fillId="0" borderId="57" xfId="39" applyBorder="1"/>
    <xf numFmtId="0" fontId="21" fillId="0" borderId="55" xfId="39" applyBorder="1"/>
    <xf numFmtId="0" fontId="21" fillId="0" borderId="58" xfId="39" applyBorder="1"/>
    <xf numFmtId="0" fontId="29" fillId="24" borderId="17" xfId="1" applyFont="1" applyFill="1" applyBorder="1" applyAlignment="1">
      <alignment horizontal="left" vertical="center"/>
    </xf>
    <xf numFmtId="0" fontId="29" fillId="24" borderId="18" xfId="1" applyFont="1" applyFill="1" applyBorder="1" applyAlignment="1">
      <alignment horizontal="left" vertical="center"/>
    </xf>
    <xf numFmtId="0" fontId="0" fillId="0" borderId="15" xfId="0" applyBorder="1" applyAlignment="1">
      <alignment horizontal="center"/>
    </xf>
    <xf numFmtId="0" fontId="0" fillId="0" borderId="23" xfId="0" applyBorder="1" applyAlignment="1">
      <alignment horizontal="center" vertical="center"/>
    </xf>
    <xf numFmtId="0" fontId="0" fillId="0" borderId="62" xfId="0" applyBorder="1" applyAlignment="1">
      <alignment horizontal="center" vertical="center"/>
    </xf>
    <xf numFmtId="0" fontId="0" fillId="0" borderId="17" xfId="0" applyBorder="1" applyAlignment="1">
      <alignment horizontal="center" vertical="center"/>
    </xf>
    <xf numFmtId="0" fontId="27" fillId="0" borderId="63" xfId="1" applyFont="1" applyBorder="1" applyAlignment="1">
      <alignment horizontal="center" vertical="center" wrapText="1"/>
    </xf>
    <xf numFmtId="0" fontId="27" fillId="0" borderId="64" xfId="1" applyFont="1" applyBorder="1" applyAlignment="1">
      <alignment horizontal="center" vertical="center" wrapText="1"/>
    </xf>
    <xf numFmtId="0" fontId="23" fillId="0" borderId="65" xfId="1" applyFont="1" applyBorder="1" applyAlignment="1">
      <alignment horizontal="center" vertical="center"/>
    </xf>
    <xf numFmtId="0" fontId="32" fillId="24" borderId="16" xfId="1" applyFont="1" applyFill="1" applyBorder="1" applyAlignment="1">
      <alignment horizontal="left" vertical="center"/>
    </xf>
    <xf numFmtId="0" fontId="24" fillId="0" borderId="21" xfId="1" applyFont="1" applyBorder="1"/>
    <xf numFmtId="0" fontId="26" fillId="0" borderId="30" xfId="0" applyFont="1" applyBorder="1" applyAlignment="1">
      <alignment horizontal="center" wrapText="1"/>
    </xf>
    <xf numFmtId="0" fontId="24" fillId="0" borderId="21" xfId="1" applyFont="1" applyBorder="1" applyAlignment="1">
      <alignment horizontal="center"/>
    </xf>
    <xf numFmtId="0" fontId="23" fillId="24" borderId="17" xfId="1" applyFont="1" applyFill="1" applyBorder="1" applyAlignment="1">
      <alignment vertical="center" wrapText="1"/>
    </xf>
    <xf numFmtId="0" fontId="23" fillId="0" borderId="21" xfId="1" applyFont="1" applyBorder="1" applyAlignment="1">
      <alignment horizontal="center"/>
    </xf>
    <xf numFmtId="0" fontId="23" fillId="0" borderId="21" xfId="1" applyFont="1" applyBorder="1"/>
    <xf numFmtId="0" fontId="26" fillId="0" borderId="35" xfId="0" applyFont="1" applyBorder="1" applyAlignment="1">
      <alignment horizontal="center" wrapText="1"/>
    </xf>
    <xf numFmtId="0" fontId="26" fillId="0" borderId="0" xfId="0" applyFont="1" applyAlignment="1">
      <alignment horizontal="center" wrapText="1"/>
    </xf>
    <xf numFmtId="0" fontId="24" fillId="0" borderId="13" xfId="53" applyFont="1" applyBorder="1" applyAlignment="1">
      <alignment vertical="center" wrapText="1"/>
    </xf>
    <xf numFmtId="0" fontId="24" fillId="0" borderId="19" xfId="1" applyFont="1" applyBorder="1" applyAlignment="1">
      <alignment horizontal="center" vertical="center"/>
    </xf>
    <xf numFmtId="0" fontId="23" fillId="0" borderId="17" xfId="1" applyFont="1" applyBorder="1" applyAlignment="1" applyProtection="1">
      <alignment horizontal="left" vertical="center" wrapText="1"/>
      <protection locked="0"/>
    </xf>
    <xf numFmtId="0" fontId="23" fillId="0" borderId="72" xfId="1" applyFont="1" applyBorder="1" applyAlignment="1" applyProtection="1">
      <alignment horizontal="left" vertical="center" wrapText="1"/>
      <protection locked="0"/>
    </xf>
    <xf numFmtId="0" fontId="24" fillId="24" borderId="17" xfId="1" applyFont="1" applyFill="1" applyBorder="1" applyAlignment="1">
      <alignment horizontal="center" vertical="center"/>
    </xf>
    <xf numFmtId="0" fontId="23" fillId="0" borderId="16" xfId="1" applyFont="1" applyBorder="1" applyAlignment="1" applyProtection="1">
      <alignment horizontal="left" vertical="center" wrapText="1"/>
      <protection locked="0"/>
    </xf>
    <xf numFmtId="0" fontId="23" fillId="0" borderId="0" xfId="1" applyFont="1" applyAlignment="1" applyProtection="1">
      <alignment horizontal="left" vertical="center" wrapText="1"/>
      <protection locked="0"/>
    </xf>
    <xf numFmtId="0" fontId="23" fillId="0" borderId="17" xfId="1" applyFont="1" applyBorder="1" applyAlignment="1" applyProtection="1">
      <alignment vertical="center" wrapText="1"/>
      <protection locked="0"/>
    </xf>
    <xf numFmtId="0" fontId="23" fillId="0" borderId="71" xfId="1" applyFont="1" applyBorder="1" applyAlignment="1" applyProtection="1">
      <alignment horizontal="left" vertical="center" wrapText="1"/>
      <protection locked="0"/>
    </xf>
    <xf numFmtId="0" fontId="22" fillId="24" borderId="73" xfId="1" applyFont="1" applyFill="1" applyBorder="1" applyAlignment="1">
      <alignment vertical="center"/>
    </xf>
    <xf numFmtId="0" fontId="22" fillId="24" borderId="74" xfId="1" applyFont="1" applyFill="1" applyBorder="1" applyAlignment="1">
      <alignment vertical="center"/>
    </xf>
    <xf numFmtId="0" fontId="23" fillId="0" borderId="76" xfId="1" applyFont="1" applyBorder="1" applyAlignment="1" applyProtection="1">
      <alignment horizontal="left" vertical="center" wrapText="1"/>
      <protection locked="0"/>
    </xf>
    <xf numFmtId="0" fontId="24" fillId="0" borderId="75" xfId="1" applyFont="1" applyBorder="1" applyAlignment="1">
      <alignment horizontal="center" vertical="center"/>
    </xf>
    <xf numFmtId="0" fontId="23" fillId="0" borderId="78" xfId="1" applyFont="1" applyBorder="1" applyAlignment="1" applyProtection="1">
      <alignment horizontal="left" vertical="center" wrapText="1"/>
      <protection locked="0"/>
    </xf>
    <xf numFmtId="0" fontId="23" fillId="0" borderId="11" xfId="1" applyFont="1" applyBorder="1" applyAlignment="1" applyProtection="1">
      <alignment horizontal="left" vertical="center" wrapText="1"/>
      <protection locked="0"/>
    </xf>
    <xf numFmtId="0" fontId="23" fillId="0" borderId="79" xfId="1" applyFont="1" applyBorder="1" applyAlignment="1" applyProtection="1">
      <alignment horizontal="left" vertical="center" wrapText="1"/>
      <protection locked="0"/>
    </xf>
    <xf numFmtId="0" fontId="24" fillId="0" borderId="82" xfId="1" applyFont="1" applyBorder="1" applyAlignment="1">
      <alignment horizontal="center" vertical="center"/>
    </xf>
    <xf numFmtId="0" fontId="24" fillId="0" borderId="83" xfId="1" applyFont="1" applyBorder="1" applyAlignment="1">
      <alignment horizontal="center" vertical="center"/>
    </xf>
    <xf numFmtId="0" fontId="23" fillId="0" borderId="88" xfId="1" applyFont="1" applyBorder="1" applyAlignment="1" applyProtection="1">
      <alignment horizontal="left" vertical="center" wrapText="1"/>
      <protection locked="0"/>
    </xf>
    <xf numFmtId="0" fontId="24" fillId="0" borderId="13" xfId="0" applyFont="1" applyBorder="1" applyAlignment="1">
      <alignment vertical="center" wrapText="1"/>
    </xf>
    <xf numFmtId="0" fontId="24" fillId="0" borderId="15" xfId="0" applyFont="1" applyBorder="1" applyAlignment="1">
      <alignment horizontal="left" vertical="center" wrapText="1"/>
    </xf>
    <xf numFmtId="0" fontId="35" fillId="0" borderId="15" xfId="0" applyFont="1" applyBorder="1" applyAlignment="1">
      <alignment horizontal="left" vertical="center" wrapText="1"/>
    </xf>
    <xf numFmtId="0" fontId="24" fillId="0" borderId="15" xfId="0" applyFont="1" applyBorder="1" applyAlignment="1">
      <alignment horizontal="left" vertical="center" wrapText="1" shrinkToFit="1"/>
    </xf>
    <xf numFmtId="0" fontId="24" fillId="24" borderId="17" xfId="0" applyFont="1" applyFill="1" applyBorder="1" applyAlignment="1">
      <alignment horizontal="left" vertical="center" wrapText="1"/>
    </xf>
    <xf numFmtId="0" fontId="24" fillId="0" borderId="13" xfId="0" applyFont="1" applyBorder="1" applyAlignment="1">
      <alignment horizontal="left" vertical="center" wrapText="1"/>
    </xf>
    <xf numFmtId="0" fontId="24" fillId="26" borderId="14" xfId="1" applyFont="1" applyFill="1" applyBorder="1" applyAlignment="1">
      <alignment horizontal="center" vertical="center"/>
    </xf>
    <xf numFmtId="0" fontId="24" fillId="26" borderId="13" xfId="52" applyFont="1" applyFill="1" applyBorder="1" applyAlignment="1">
      <alignment vertical="center" wrapText="1"/>
    </xf>
    <xf numFmtId="0" fontId="24" fillId="0" borderId="14" xfId="0" applyFont="1" applyBorder="1" applyAlignment="1">
      <alignment horizontal="left" vertical="center" wrapText="1"/>
    </xf>
    <xf numFmtId="0" fontId="24" fillId="24" borderId="17" xfId="0" applyFont="1" applyFill="1" applyBorder="1" applyAlignment="1">
      <alignment vertical="center" wrapText="1"/>
    </xf>
    <xf numFmtId="0" fontId="35" fillId="0" borderId="13" xfId="53" applyFont="1" applyBorder="1" applyAlignment="1">
      <alignment vertical="center" wrapText="1"/>
    </xf>
    <xf numFmtId="0" fontId="24" fillId="0" borderId="51" xfId="0" applyFont="1" applyBorder="1" applyAlignment="1">
      <alignment horizontal="left" vertical="center" wrapText="1"/>
    </xf>
    <xf numFmtId="0" fontId="22" fillId="24" borderId="71" xfId="1" applyFont="1" applyFill="1" applyBorder="1" applyAlignment="1">
      <alignment vertical="center"/>
    </xf>
    <xf numFmtId="0" fontId="23" fillId="0" borderId="13" xfId="1" applyFont="1" applyBorder="1" applyAlignment="1" applyProtection="1">
      <alignment horizontal="left" vertical="center" wrapText="1"/>
      <protection locked="0"/>
    </xf>
    <xf numFmtId="0" fontId="23" fillId="0" borderId="13" xfId="1" applyFont="1" applyBorder="1"/>
    <xf numFmtId="0" fontId="27" fillId="0" borderId="13" xfId="1" applyFont="1" applyBorder="1" applyAlignment="1">
      <alignment horizontal="center" vertical="center" wrapText="1"/>
    </xf>
    <xf numFmtId="0" fontId="22" fillId="24" borderId="13" xfId="1" applyFont="1" applyFill="1" applyBorder="1" applyAlignment="1">
      <alignment vertical="center"/>
    </xf>
    <xf numFmtId="0" fontId="24" fillId="26" borderId="13" xfId="52" applyFont="1" applyFill="1" applyBorder="1" applyAlignment="1">
      <alignment horizontal="left" vertical="center" wrapText="1"/>
    </xf>
    <xf numFmtId="0" fontId="24" fillId="26" borderId="13" xfId="1" applyFont="1" applyFill="1" applyBorder="1" applyAlignment="1">
      <alignment horizontal="center" vertical="center"/>
    </xf>
    <xf numFmtId="0" fontId="0" fillId="0" borderId="0" xfId="0" applyAlignment="1">
      <alignment vertical="center"/>
    </xf>
    <xf numFmtId="0" fontId="23" fillId="0" borderId="15" xfId="1" applyFont="1" applyBorder="1" applyAlignment="1" applyProtection="1">
      <alignment horizontal="left" vertical="center" wrapText="1"/>
      <protection locked="0"/>
    </xf>
    <xf numFmtId="0" fontId="22" fillId="24" borderId="17" xfId="1" applyFont="1" applyFill="1" applyBorder="1" applyAlignment="1">
      <alignment vertical="center"/>
    </xf>
    <xf numFmtId="0" fontId="24" fillId="26" borderId="14" xfId="52" applyFont="1" applyFill="1" applyBorder="1" applyAlignment="1">
      <alignment vertical="center" wrapText="1"/>
    </xf>
    <xf numFmtId="0" fontId="24" fillId="0" borderId="84" xfId="0" applyFont="1" applyBorder="1" applyAlignment="1">
      <alignment horizontal="left" vertical="center" wrapText="1"/>
    </xf>
    <xf numFmtId="0" fontId="24" fillId="26" borderId="14" xfId="52" applyFont="1" applyFill="1" applyBorder="1" applyAlignment="1">
      <alignment horizontal="left" vertical="center" wrapText="1"/>
    </xf>
    <xf numFmtId="0" fontId="24" fillId="0" borderId="84" xfId="53" applyFont="1" applyBorder="1" applyAlignment="1">
      <alignment vertical="center" wrapText="1"/>
    </xf>
    <xf numFmtId="0" fontId="24" fillId="0" borderId="13" xfId="0" applyFont="1" applyBorder="1" applyAlignment="1">
      <alignment horizontal="left" vertical="center" wrapText="1" indent="2"/>
    </xf>
    <xf numFmtId="0" fontId="24" fillId="0" borderId="14" xfId="0" applyFont="1" applyBorder="1" applyAlignment="1">
      <alignment horizontal="left" vertical="center" wrapText="1" indent="2"/>
    </xf>
    <xf numFmtId="0" fontId="22" fillId="24" borderId="18" xfId="1" applyFont="1" applyFill="1" applyBorder="1" applyAlignment="1">
      <alignment vertical="center"/>
    </xf>
    <xf numFmtId="0" fontId="22" fillId="24" borderId="16" xfId="1" applyFont="1" applyFill="1" applyBorder="1" applyAlignment="1">
      <alignment vertical="center"/>
    </xf>
    <xf numFmtId="0" fontId="23" fillId="0" borderId="16" xfId="1" applyFont="1" applyBorder="1" applyAlignment="1">
      <alignment horizontal="center" vertical="center"/>
    </xf>
    <xf numFmtId="0" fontId="26" fillId="0" borderId="18" xfId="0" applyFont="1" applyBorder="1" applyAlignment="1">
      <alignment horizontal="center" wrapText="1"/>
    </xf>
    <xf numFmtId="0" fontId="26" fillId="0" borderId="39" xfId="0" applyFont="1" applyBorder="1" applyAlignment="1">
      <alignment horizontal="center" wrapText="1"/>
    </xf>
    <xf numFmtId="0" fontId="23" fillId="0" borderId="25" xfId="1" applyFont="1" applyBorder="1"/>
    <xf numFmtId="0" fontId="23" fillId="0" borderId="25" xfId="1" applyFont="1" applyBorder="1" applyAlignment="1">
      <alignment horizontal="center"/>
    </xf>
    <xf numFmtId="0" fontId="24" fillId="0" borderId="25" xfId="1" applyFont="1" applyBorder="1" applyAlignment="1">
      <alignment horizontal="center"/>
    </xf>
    <xf numFmtId="0" fontId="39" fillId="27" borderId="46" xfId="1" applyFont="1" applyFill="1" applyBorder="1" applyAlignment="1">
      <alignment horizontal="left" vertical="center"/>
    </xf>
    <xf numFmtId="0" fontId="22" fillId="27" borderId="47" xfId="1" applyFont="1" applyFill="1" applyBorder="1" applyAlignment="1">
      <alignment horizontal="center" vertical="center" wrapText="1"/>
    </xf>
    <xf numFmtId="0" fontId="22" fillId="27" borderId="48" xfId="1" applyFont="1" applyFill="1" applyBorder="1" applyAlignment="1">
      <alignment horizontal="center" vertical="center" wrapText="1"/>
    </xf>
    <xf numFmtId="0" fontId="22" fillId="27" borderId="46" xfId="1" applyFont="1" applyFill="1" applyBorder="1" applyAlignment="1">
      <alignment horizontal="center" vertical="center"/>
    </xf>
    <xf numFmtId="0" fontId="39" fillId="27" borderId="47" xfId="1" applyFont="1" applyFill="1" applyBorder="1" applyAlignment="1">
      <alignment horizontal="center" vertical="center" wrapText="1"/>
    </xf>
    <xf numFmtId="0" fontId="23" fillId="27" borderId="12" xfId="1" applyFont="1" applyFill="1" applyBorder="1" applyAlignment="1">
      <alignment horizontal="center" vertical="center" wrapText="1"/>
    </xf>
    <xf numFmtId="0" fontId="23" fillId="27" borderId="49" xfId="1" applyFont="1" applyFill="1" applyBorder="1" applyAlignment="1">
      <alignment horizontal="center" vertical="center" wrapText="1"/>
    </xf>
    <xf numFmtId="0" fontId="23" fillId="27" borderId="50" xfId="1" applyFont="1" applyFill="1" applyBorder="1" applyAlignment="1">
      <alignment horizontal="center" vertical="center" textRotation="90" wrapText="1"/>
    </xf>
    <xf numFmtId="0" fontId="23" fillId="27" borderId="50" xfId="1" applyFont="1" applyFill="1" applyBorder="1" applyAlignment="1">
      <alignment horizontal="center" vertical="center" textRotation="90"/>
    </xf>
    <xf numFmtId="0" fontId="23" fillId="27" borderId="20" xfId="1" applyFont="1" applyFill="1" applyBorder="1" applyAlignment="1">
      <alignment horizontal="center" vertical="center" textRotation="90"/>
    </xf>
    <xf numFmtId="0" fontId="23" fillId="27" borderId="20" xfId="1" applyFont="1" applyFill="1" applyBorder="1" applyAlignment="1">
      <alignment horizontal="center" vertical="center" wrapText="1"/>
    </xf>
    <xf numFmtId="0" fontId="23" fillId="27" borderId="68" xfId="1" applyFont="1" applyFill="1" applyBorder="1" applyAlignment="1">
      <alignment horizontal="center" vertical="center" wrapText="1"/>
    </xf>
    <xf numFmtId="0" fontId="23" fillId="27" borderId="69" xfId="1" applyFont="1" applyFill="1" applyBorder="1" applyAlignment="1">
      <alignment horizontal="center" vertical="center" textRotation="90" wrapText="1"/>
    </xf>
    <xf numFmtId="0" fontId="23" fillId="27" borderId="69" xfId="1" applyFont="1" applyFill="1" applyBorder="1" applyAlignment="1">
      <alignment horizontal="center" vertical="center" textRotation="90"/>
    </xf>
    <xf numFmtId="0" fontId="23" fillId="27" borderId="70" xfId="1" applyFont="1" applyFill="1" applyBorder="1" applyAlignment="1">
      <alignment horizontal="center" vertical="center" textRotation="90"/>
    </xf>
    <xf numFmtId="0" fontId="23" fillId="27" borderId="69" xfId="1" applyFont="1" applyFill="1" applyBorder="1" applyAlignment="1">
      <alignment horizontal="center" vertical="center" wrapText="1"/>
    </xf>
    <xf numFmtId="0" fontId="23" fillId="27" borderId="11" xfId="1" applyFont="1" applyFill="1" applyBorder="1" applyAlignment="1">
      <alignment horizontal="center" vertical="center" wrapText="1"/>
    </xf>
    <xf numFmtId="0" fontId="23" fillId="27" borderId="50" xfId="1" applyFont="1" applyFill="1" applyBorder="1" applyAlignment="1">
      <alignment horizontal="center" vertical="center" wrapText="1"/>
    </xf>
    <xf numFmtId="0" fontId="23" fillId="24" borderId="14" xfId="53" applyFont="1" applyFill="1" applyBorder="1" applyAlignment="1">
      <alignment horizontal="center" vertical="center" shrinkToFit="1"/>
    </xf>
    <xf numFmtId="0" fontId="23" fillId="0" borderId="22" xfId="1" applyFont="1" applyBorder="1"/>
    <xf numFmtId="0" fontId="23" fillId="0" borderId="26" xfId="1" applyFont="1" applyBorder="1" applyAlignment="1">
      <alignment horizontal="center"/>
    </xf>
    <xf numFmtId="0" fontId="24" fillId="0" borderId="26" xfId="1" applyFont="1" applyBorder="1" applyAlignment="1">
      <alignment horizontal="center"/>
    </xf>
    <xf numFmtId="0" fontId="23" fillId="0" borderId="36" xfId="1" applyFont="1" applyBorder="1" applyAlignment="1">
      <alignment horizontal="center"/>
    </xf>
    <xf numFmtId="0" fontId="24" fillId="0" borderId="26" xfId="1" applyFont="1" applyBorder="1"/>
    <xf numFmtId="0" fontId="23" fillId="24" borderId="17" xfId="53" applyFont="1" applyFill="1" applyBorder="1" applyAlignment="1">
      <alignment horizontal="center" vertical="center" shrinkToFit="1"/>
    </xf>
    <xf numFmtId="0" fontId="23" fillId="0" borderId="26" xfId="1" applyFont="1" applyBorder="1"/>
    <xf numFmtId="0" fontId="23" fillId="24" borderId="83" xfId="53" applyFont="1" applyFill="1" applyBorder="1" applyAlignment="1">
      <alignment horizontal="center" vertical="center" shrinkToFit="1"/>
    </xf>
    <xf numFmtId="0" fontId="23" fillId="0" borderId="95" xfId="1" applyFont="1" applyBorder="1" applyAlignment="1">
      <alignment horizontal="center"/>
    </xf>
    <xf numFmtId="0" fontId="24" fillId="0" borderId="95" xfId="1" applyFont="1" applyBorder="1" applyAlignment="1">
      <alignment horizontal="center"/>
    </xf>
    <xf numFmtId="0" fontId="23" fillId="0" borderId="93" xfId="1" applyFont="1" applyBorder="1" applyAlignment="1">
      <alignment horizontal="center"/>
    </xf>
    <xf numFmtId="0" fontId="23" fillId="26" borderId="14" xfId="53" applyFont="1" applyFill="1" applyBorder="1" applyAlignment="1">
      <alignment horizontal="center" vertical="center" shrinkToFit="1"/>
    </xf>
    <xf numFmtId="0" fontId="24" fillId="0" borderId="40" xfId="1" applyFont="1" applyBorder="1"/>
    <xf numFmtId="0" fontId="23" fillId="26" borderId="14" xfId="1" applyFont="1" applyFill="1" applyBorder="1" applyAlignment="1">
      <alignment horizontal="center"/>
    </xf>
    <xf numFmtId="0" fontId="24" fillId="26" borderId="14" xfId="1" applyFont="1" applyFill="1" applyBorder="1" applyAlignment="1">
      <alignment horizontal="center"/>
    </xf>
    <xf numFmtId="0" fontId="23" fillId="26" borderId="13" xfId="53" applyFont="1" applyFill="1" applyBorder="1" applyAlignment="1">
      <alignment horizontal="center" vertical="center" shrinkToFit="1"/>
    </xf>
    <xf numFmtId="0" fontId="24" fillId="0" borderId="22" xfId="1" applyFont="1" applyBorder="1"/>
    <xf numFmtId="0" fontId="23" fillId="26" borderId="13" xfId="1" applyFont="1" applyFill="1" applyBorder="1" applyAlignment="1">
      <alignment horizontal="center"/>
    </xf>
    <xf numFmtId="0" fontId="24" fillId="26" borderId="13" xfId="1" applyFont="1" applyFill="1" applyBorder="1" applyAlignment="1">
      <alignment horizontal="center"/>
    </xf>
    <xf numFmtId="0" fontId="26" fillId="0" borderId="85" xfId="0" applyFont="1" applyBorder="1" applyAlignment="1">
      <alignment horizontal="center" wrapText="1"/>
    </xf>
    <xf numFmtId="0" fontId="23" fillId="0" borderId="96" xfId="1" applyFont="1" applyBorder="1"/>
    <xf numFmtId="0" fontId="24" fillId="0" borderId="86" xfId="1" applyFont="1" applyBorder="1"/>
    <xf numFmtId="0" fontId="0" fillId="0" borderId="0" xfId="0" applyAlignment="1">
      <alignment horizontal="center"/>
    </xf>
    <xf numFmtId="0" fontId="30" fillId="0" borderId="0" xfId="0" applyFont="1" applyAlignment="1">
      <alignment horizontal="center"/>
    </xf>
    <xf numFmtId="0" fontId="25" fillId="0" borderId="0" xfId="0" applyFont="1" applyAlignment="1">
      <alignment horizontal="center" wrapText="1"/>
    </xf>
    <xf numFmtId="0" fontId="0" fillId="0" borderId="52" xfId="0" applyBorder="1"/>
    <xf numFmtId="0" fontId="0" fillId="0" borderId="53" xfId="0" applyBorder="1"/>
    <xf numFmtId="0" fontId="0" fillId="0" borderId="54" xfId="0" applyBorder="1"/>
    <xf numFmtId="0" fontId="0" fillId="0" borderId="66" xfId="0" applyBorder="1"/>
    <xf numFmtId="0" fontId="0" fillId="0" borderId="66" xfId="0" applyBorder="1" applyAlignment="1">
      <alignment horizontal="center"/>
    </xf>
    <xf numFmtId="0" fontId="0" fillId="0" borderId="55" xfId="0" applyBorder="1"/>
    <xf numFmtId="0" fontId="0" fillId="0" borderId="59" xfId="0" applyBorder="1"/>
    <xf numFmtId="0" fontId="0" fillId="0" borderId="60" xfId="0" applyBorder="1"/>
    <xf numFmtId="0" fontId="0" fillId="0" borderId="67" xfId="0" applyBorder="1"/>
    <xf numFmtId="0" fontId="0" fillId="0" borderId="67" xfId="0" applyBorder="1" applyAlignment="1">
      <alignment horizontal="center"/>
    </xf>
    <xf numFmtId="0" fontId="0" fillId="0" borderId="0" xfId="0" applyProtection="1">
      <protection locked="0"/>
    </xf>
    <xf numFmtId="0" fontId="24" fillId="0" borderId="14" xfId="1" applyFont="1" applyBorder="1" applyAlignment="1" applyProtection="1">
      <alignment horizontal="center" vertical="center" wrapText="1"/>
      <protection locked="0"/>
    </xf>
    <xf numFmtId="0" fontId="24" fillId="0" borderId="83" xfId="1" applyFont="1" applyBorder="1" applyAlignment="1" applyProtection="1">
      <alignment horizontal="center" vertical="center" wrapText="1"/>
      <protection locked="0"/>
    </xf>
    <xf numFmtId="0" fontId="24" fillId="26" borderId="14" xfId="1" applyFont="1" applyFill="1" applyBorder="1" applyAlignment="1" applyProtection="1">
      <alignment horizontal="center" vertical="center" wrapText="1"/>
      <protection locked="0"/>
    </xf>
    <xf numFmtId="0" fontId="24" fillId="26" borderId="13" xfId="1" applyFont="1" applyFill="1" applyBorder="1" applyAlignment="1" applyProtection="1">
      <alignment horizontal="center" vertical="center" wrapText="1"/>
      <protection locked="0"/>
    </xf>
    <xf numFmtId="0" fontId="3" fillId="0" borderId="56" xfId="39" applyFont="1" applyBorder="1" applyAlignment="1" applyProtection="1">
      <alignment horizontal="center"/>
      <protection locked="0"/>
    </xf>
    <xf numFmtId="0" fontId="21" fillId="0" borderId="56" xfId="39" applyBorder="1" applyAlignment="1" applyProtection="1">
      <alignment horizontal="center"/>
      <protection locked="0"/>
    </xf>
    <xf numFmtId="0" fontId="0" fillId="0" borderId="56" xfId="0" applyBorder="1" applyProtection="1">
      <protection locked="0"/>
    </xf>
    <xf numFmtId="0" fontId="0" fillId="0" borderId="61" xfId="0" applyBorder="1" applyProtection="1">
      <protection locked="0"/>
    </xf>
    <xf numFmtId="0" fontId="0" fillId="0" borderId="0" xfId="0" applyAlignment="1" applyProtection="1">
      <alignment horizontal="center"/>
      <protection locked="0"/>
    </xf>
    <xf numFmtId="0" fontId="0" fillId="0" borderId="66" xfId="0" applyBorder="1" applyAlignment="1" applyProtection="1">
      <alignment horizontal="center"/>
      <protection locked="0"/>
    </xf>
    <xf numFmtId="0" fontId="0" fillId="0" borderId="67" xfId="0" applyBorder="1" applyAlignment="1" applyProtection="1">
      <alignment horizontal="center"/>
      <protection locked="0"/>
    </xf>
    <xf numFmtId="0" fontId="41" fillId="0" borderId="17" xfId="1" applyFont="1" applyBorder="1" applyAlignment="1" applyProtection="1">
      <alignment horizontal="left" vertical="center" wrapText="1"/>
      <protection locked="0"/>
    </xf>
    <xf numFmtId="0" fontId="28" fillId="0" borderId="0" xfId="0" applyFont="1"/>
    <xf numFmtId="0" fontId="24" fillId="0" borderId="14" xfId="1" applyFont="1" applyBorder="1" applyAlignment="1">
      <alignment horizontal="center" vertical="center" wrapText="1"/>
    </xf>
    <xf numFmtId="0" fontId="24" fillId="0" borderId="15" xfId="52" applyFont="1" applyBorder="1" applyAlignment="1">
      <alignment vertical="center" wrapText="1"/>
    </xf>
    <xf numFmtId="0" fontId="23" fillId="0" borderId="17" xfId="1" applyFont="1" applyBorder="1" applyAlignment="1">
      <alignment horizontal="left" vertical="center" wrapText="1"/>
    </xf>
    <xf numFmtId="0" fontId="24" fillId="0" borderId="13" xfId="52" applyFont="1" applyBorder="1" applyAlignment="1">
      <alignment vertical="center" wrapText="1"/>
    </xf>
    <xf numFmtId="0" fontId="24" fillId="0" borderId="13" xfId="52" applyFont="1" applyBorder="1" applyAlignment="1">
      <alignment horizontal="left" vertical="center" wrapText="1"/>
    </xf>
    <xf numFmtId="0" fontId="24" fillId="0" borderId="24" xfId="1" applyFont="1" applyBorder="1" applyAlignment="1">
      <alignment horizontal="center" vertical="center"/>
    </xf>
    <xf numFmtId="0" fontId="24" fillId="0" borderId="51" xfId="1" applyFont="1" applyBorder="1" applyAlignment="1">
      <alignment horizontal="center" vertical="center"/>
    </xf>
    <xf numFmtId="0" fontId="23" fillId="0" borderId="72" xfId="1" applyFont="1" applyBorder="1" applyAlignment="1">
      <alignment horizontal="left" vertical="center" wrapText="1"/>
    </xf>
    <xf numFmtId="0" fontId="24" fillId="0" borderId="14" xfId="0" applyFont="1" applyBorder="1" applyAlignment="1">
      <alignment vertical="center" wrapText="1"/>
    </xf>
    <xf numFmtId="0" fontId="24" fillId="0" borderId="83" xfId="1" applyFont="1" applyBorder="1" applyAlignment="1">
      <alignment horizontal="center" vertical="center" wrapText="1"/>
    </xf>
    <xf numFmtId="0" fontId="24" fillId="0" borderId="84" xfId="0" applyFont="1" applyBorder="1" applyAlignment="1">
      <alignment vertical="center" wrapText="1"/>
    </xf>
    <xf numFmtId="0" fontId="24" fillId="26" borderId="19" xfId="1" applyFont="1" applyFill="1" applyBorder="1" applyAlignment="1">
      <alignment horizontal="center" vertical="center"/>
    </xf>
    <xf numFmtId="0" fontId="24" fillId="26" borderId="14" xfId="1" applyFont="1" applyFill="1" applyBorder="1" applyAlignment="1">
      <alignment horizontal="center" vertical="center" wrapText="1"/>
    </xf>
    <xf numFmtId="0" fontId="24" fillId="26" borderId="51" xfId="52" applyFont="1" applyFill="1" applyBorder="1" applyAlignment="1">
      <alignment vertical="center" wrapText="1"/>
    </xf>
    <xf numFmtId="0" fontId="23" fillId="0" borderId="71" xfId="1" applyFont="1" applyBorder="1" applyAlignment="1">
      <alignment horizontal="left" vertical="center" wrapText="1"/>
    </xf>
    <xf numFmtId="0" fontId="24" fillId="26" borderId="15" xfId="52" applyFont="1" applyFill="1" applyBorder="1" applyAlignment="1">
      <alignment vertical="center" wrapText="1"/>
    </xf>
    <xf numFmtId="0" fontId="23" fillId="26" borderId="15" xfId="53" applyFont="1" applyFill="1" applyBorder="1" applyAlignment="1">
      <alignment horizontal="center" vertical="center" shrinkToFit="1"/>
    </xf>
    <xf numFmtId="0" fontId="23" fillId="24" borderId="14" xfId="53" applyFont="1" applyFill="1" applyBorder="1" applyAlignment="1" applyProtection="1">
      <alignment horizontal="center" vertical="center" shrinkToFit="1"/>
      <protection locked="0"/>
    </xf>
    <xf numFmtId="0" fontId="26" fillId="0" borderId="30" xfId="0" applyFont="1" applyBorder="1" applyAlignment="1" applyProtection="1">
      <alignment horizontal="center" wrapText="1"/>
      <protection locked="0"/>
    </xf>
    <xf numFmtId="0" fontId="23" fillId="0" borderId="22" xfId="1" applyFont="1" applyBorder="1" applyProtection="1">
      <protection locked="0"/>
    </xf>
    <xf numFmtId="0" fontId="23" fillId="0" borderId="26" xfId="1" applyFont="1" applyBorder="1" applyAlignment="1" applyProtection="1">
      <alignment horizontal="center"/>
      <protection locked="0"/>
    </xf>
    <xf numFmtId="0" fontId="24" fillId="0" borderId="26" xfId="1" applyFont="1" applyBorder="1" applyAlignment="1" applyProtection="1">
      <alignment horizontal="center"/>
      <protection locked="0"/>
    </xf>
    <xf numFmtId="0" fontId="23" fillId="0" borderId="36" xfId="1" applyFont="1" applyBorder="1" applyAlignment="1" applyProtection="1">
      <alignment horizontal="center"/>
      <protection locked="0"/>
    </xf>
    <xf numFmtId="0" fontId="23" fillId="24" borderId="13" xfId="53" applyFont="1" applyFill="1" applyBorder="1" applyAlignment="1" applyProtection="1">
      <alignment horizontal="center" vertical="center" shrinkToFit="1"/>
      <protection locked="0"/>
    </xf>
    <xf numFmtId="0" fontId="23" fillId="24" borderId="15" xfId="53" applyFont="1" applyFill="1" applyBorder="1" applyAlignment="1" applyProtection="1">
      <alignment horizontal="center" vertical="center" shrinkToFit="1"/>
      <protection locked="0"/>
    </xf>
    <xf numFmtId="0" fontId="23" fillId="0" borderId="21" xfId="1" applyFont="1" applyBorder="1" applyProtection="1">
      <protection locked="0"/>
    </xf>
    <xf numFmtId="0" fontId="24" fillId="0" borderId="21" xfId="1" applyFont="1" applyBorder="1" applyProtection="1">
      <protection locked="0"/>
    </xf>
    <xf numFmtId="0" fontId="26" fillId="0" borderId="35" xfId="0" applyFont="1" applyBorder="1" applyAlignment="1" applyProtection="1">
      <alignment horizontal="center" wrapText="1"/>
      <protection locked="0"/>
    </xf>
    <xf numFmtId="0" fontId="24" fillId="0" borderId="26" xfId="1" applyFont="1" applyBorder="1" applyProtection="1">
      <protection locked="0"/>
    </xf>
    <xf numFmtId="0" fontId="23" fillId="0" borderId="21" xfId="1" applyFont="1" applyBorder="1" applyAlignment="1" applyProtection="1">
      <alignment horizontal="center"/>
      <protection locked="0"/>
    </xf>
    <xf numFmtId="0" fontId="24" fillId="0" borderId="21" xfId="1" applyFont="1" applyBorder="1" applyAlignment="1" applyProtection="1">
      <alignment horizontal="center"/>
      <protection locked="0"/>
    </xf>
    <xf numFmtId="0" fontId="23" fillId="0" borderId="25" xfId="1" applyFont="1" applyBorder="1" applyAlignment="1" applyProtection="1">
      <alignment horizontal="center"/>
      <protection locked="0"/>
    </xf>
    <xf numFmtId="0" fontId="24" fillId="0" borderId="25" xfId="1" applyFont="1" applyBorder="1" applyAlignment="1" applyProtection="1">
      <alignment horizontal="center"/>
      <protection locked="0"/>
    </xf>
    <xf numFmtId="0" fontId="26" fillId="0" borderId="39" xfId="0" applyFont="1" applyBorder="1" applyAlignment="1" applyProtection="1">
      <alignment horizontal="center" wrapText="1"/>
      <protection locked="0"/>
    </xf>
    <xf numFmtId="0" fontId="23" fillId="0" borderId="25" xfId="1" applyFont="1" applyBorder="1" applyProtection="1">
      <protection locked="0"/>
    </xf>
    <xf numFmtId="0" fontId="23" fillId="24" borderId="84" xfId="53" applyFont="1" applyFill="1" applyBorder="1" applyAlignment="1" applyProtection="1">
      <alignment horizontal="center" vertical="center" shrinkToFit="1"/>
      <protection locked="0"/>
    </xf>
    <xf numFmtId="0" fontId="26" fillId="0" borderId="94" xfId="0" applyFont="1" applyBorder="1" applyAlignment="1" applyProtection="1">
      <alignment horizontal="center" wrapText="1"/>
      <protection locked="0"/>
    </xf>
    <xf numFmtId="0" fontId="24" fillId="0" borderId="95" xfId="1" applyFont="1" applyBorder="1" applyProtection="1">
      <protection locked="0"/>
    </xf>
    <xf numFmtId="0" fontId="23" fillId="0" borderId="95" xfId="1" applyFont="1" applyBorder="1" applyAlignment="1" applyProtection="1">
      <alignment horizontal="center"/>
      <protection locked="0"/>
    </xf>
    <xf numFmtId="0" fontId="24" fillId="0" borderId="95" xfId="1" applyFont="1" applyBorder="1" applyAlignment="1" applyProtection="1">
      <alignment horizontal="center"/>
      <protection locked="0"/>
    </xf>
    <xf numFmtId="0" fontId="23" fillId="0" borderId="93" xfId="1" applyFont="1" applyBorder="1" applyAlignment="1" applyProtection="1">
      <alignment horizontal="center"/>
      <protection locked="0"/>
    </xf>
    <xf numFmtId="0" fontId="24" fillId="26" borderId="14" xfId="0" applyFont="1" applyFill="1" applyBorder="1" applyAlignment="1">
      <alignment vertical="center" wrapText="1"/>
    </xf>
    <xf numFmtId="0" fontId="26" fillId="0" borderId="85" xfId="0" applyFont="1" applyBorder="1" applyAlignment="1" applyProtection="1">
      <alignment horizontal="center" wrapText="1"/>
      <protection locked="0"/>
    </xf>
    <xf numFmtId="0" fontId="24" fillId="0" borderId="86" xfId="1" applyFont="1" applyBorder="1" applyProtection="1">
      <protection locked="0"/>
    </xf>
    <xf numFmtId="0" fontId="24" fillId="24" borderId="17" xfId="52" applyFont="1" applyFill="1" applyBorder="1" applyAlignment="1">
      <alignment horizontal="left" vertical="center" wrapText="1"/>
    </xf>
    <xf numFmtId="0" fontId="24" fillId="0" borderId="14" xfId="52" applyFont="1" applyBorder="1" applyAlignment="1">
      <alignment horizontal="left" vertical="center" wrapText="1" indent="1"/>
    </xf>
    <xf numFmtId="0" fontId="24" fillId="0" borderId="13" xfId="52" applyFont="1" applyBorder="1" applyAlignment="1">
      <alignment horizontal="left" vertical="center" wrapText="1" indent="1"/>
    </xf>
    <xf numFmtId="0" fontId="23" fillId="0" borderId="38" xfId="1" applyFont="1" applyBorder="1" applyAlignment="1">
      <alignment horizontal="center"/>
    </xf>
    <xf numFmtId="0" fontId="23" fillId="0" borderId="0" xfId="1" applyFont="1" applyAlignment="1">
      <alignment horizontal="left" vertical="center" wrapText="1"/>
    </xf>
    <xf numFmtId="0" fontId="22" fillId="24" borderId="16" xfId="0" applyFont="1" applyFill="1" applyBorder="1" applyAlignment="1">
      <alignment vertical="center"/>
    </xf>
    <xf numFmtId="0" fontId="22" fillId="24" borderId="17" xfId="0" applyFont="1" applyFill="1" applyBorder="1" applyAlignment="1">
      <alignment vertical="center"/>
    </xf>
    <xf numFmtId="0" fontId="40" fillId="0" borderId="14" xfId="1" applyFont="1" applyBorder="1" applyAlignment="1">
      <alignment horizontal="center" vertical="center" wrapText="1"/>
    </xf>
    <xf numFmtId="0" fontId="40" fillId="0" borderId="15" xfId="39" applyFont="1" applyBorder="1" applyAlignment="1">
      <alignment horizontal="left" vertical="center" wrapText="1"/>
    </xf>
    <xf numFmtId="0" fontId="24" fillId="0" borderId="0" xfId="1" applyFont="1" applyAlignment="1">
      <alignment horizontal="center" vertical="center"/>
    </xf>
    <xf numFmtId="0" fontId="24" fillId="0" borderId="0" xfId="1" applyFont="1" applyAlignment="1">
      <alignment horizontal="center" vertical="center" wrapText="1"/>
    </xf>
    <xf numFmtId="0" fontId="24" fillId="0" borderId="0" xfId="0" applyFont="1" applyAlignment="1">
      <alignment horizontal="left" vertical="center" wrapText="1"/>
    </xf>
    <xf numFmtId="0" fontId="23" fillId="24" borderId="0" xfId="39" applyFont="1" applyFill="1" applyAlignment="1">
      <alignment horizontal="center" vertical="center" shrinkToFit="1"/>
    </xf>
    <xf numFmtId="0" fontId="23" fillId="0" borderId="0" xfId="1" applyFont="1"/>
    <xf numFmtId="0" fontId="23" fillId="0" borderId="0" xfId="1" applyFont="1" applyAlignment="1">
      <alignment horizontal="center"/>
    </xf>
    <xf numFmtId="0" fontId="24" fillId="0" borderId="0" xfId="1" applyFont="1" applyAlignment="1">
      <alignment horizontal="center"/>
    </xf>
    <xf numFmtId="0" fontId="23" fillId="0" borderId="0" xfId="53" applyFont="1" applyAlignment="1">
      <alignment horizontal="center" vertical="center" shrinkToFit="1"/>
    </xf>
    <xf numFmtId="0" fontId="23" fillId="0" borderId="31" xfId="1" applyFont="1" applyBorder="1" applyAlignment="1" applyProtection="1">
      <alignment horizontal="center"/>
      <protection locked="0"/>
    </xf>
    <xf numFmtId="0" fontId="24" fillId="0" borderId="25" xfId="1" applyFont="1" applyBorder="1" applyProtection="1">
      <protection locked="0"/>
    </xf>
    <xf numFmtId="0" fontId="23" fillId="0" borderId="37" xfId="1" applyFont="1" applyBorder="1" applyAlignment="1" applyProtection="1">
      <alignment horizontal="center"/>
      <protection locked="0"/>
    </xf>
    <xf numFmtId="0" fontId="24" fillId="0" borderId="37" xfId="1" applyFont="1" applyBorder="1" applyAlignment="1" applyProtection="1">
      <alignment horizontal="center"/>
      <protection locked="0"/>
    </xf>
    <xf numFmtId="0" fontId="23" fillId="0" borderId="38" xfId="1" applyFont="1" applyBorder="1" applyAlignment="1" applyProtection="1">
      <alignment horizontal="center"/>
      <protection locked="0"/>
    </xf>
    <xf numFmtId="0" fontId="23" fillId="24" borderId="13" xfId="39" applyFont="1" applyFill="1" applyBorder="1" applyAlignment="1" applyProtection="1">
      <alignment horizontal="center" vertical="center" shrinkToFit="1"/>
      <protection locked="0"/>
    </xf>
    <xf numFmtId="0" fontId="24" fillId="24" borderId="17" xfId="52" applyFont="1" applyFill="1" applyBorder="1" applyAlignment="1">
      <alignment vertical="center" wrapText="1"/>
    </xf>
    <xf numFmtId="0" fontId="24" fillId="0" borderId="14" xfId="52" applyFont="1" applyBorder="1" applyAlignment="1">
      <alignment horizontal="left" vertical="center" wrapText="1" indent="2"/>
    </xf>
    <xf numFmtId="0" fontId="24" fillId="0" borderId="13" xfId="52" applyFont="1" applyBorder="1" applyAlignment="1">
      <alignment horizontal="left" vertical="center" wrapText="1" indent="2"/>
    </xf>
    <xf numFmtId="0" fontId="26" fillId="0" borderId="32" xfId="0" applyFont="1" applyBorder="1" applyAlignment="1" applyProtection="1">
      <alignment horizontal="center" wrapText="1"/>
      <protection locked="0"/>
    </xf>
    <xf numFmtId="0" fontId="24" fillId="0" borderId="45" xfId="1" applyFont="1" applyBorder="1" applyProtection="1">
      <protection locked="0"/>
    </xf>
    <xf numFmtId="0" fontId="23" fillId="0" borderId="33" xfId="1" applyFont="1" applyBorder="1" applyAlignment="1" applyProtection="1">
      <alignment horizontal="center"/>
      <protection locked="0"/>
    </xf>
    <xf numFmtId="0" fontId="24" fillId="0" borderId="33" xfId="1" applyFont="1" applyBorder="1" applyAlignment="1" applyProtection="1">
      <alignment horizontal="center"/>
      <protection locked="0"/>
    </xf>
    <xf numFmtId="0" fontId="23" fillId="0" borderId="34" xfId="1" applyFont="1" applyBorder="1" applyAlignment="1" applyProtection="1">
      <alignment horizontal="center"/>
      <protection locked="0"/>
    </xf>
    <xf numFmtId="0" fontId="23" fillId="0" borderId="26" xfId="1" applyFont="1" applyBorder="1" applyProtection="1">
      <protection locked="0"/>
    </xf>
    <xf numFmtId="0" fontId="24" fillId="0" borderId="15" xfId="52" applyFont="1" applyBorder="1" applyAlignment="1">
      <alignment horizontal="left" vertical="center" wrapText="1"/>
    </xf>
    <xf numFmtId="0" fontId="24" fillId="0" borderId="13" xfId="54" applyFont="1" applyBorder="1" applyAlignment="1">
      <alignment vertical="center" wrapText="1"/>
    </xf>
    <xf numFmtId="0" fontId="24" fillId="0" borderId="15" xfId="54" applyFont="1" applyBorder="1" applyAlignment="1">
      <alignment vertical="center" wrapText="1"/>
    </xf>
    <xf numFmtId="0" fontId="35" fillId="0" borderId="13" xfId="0" applyFont="1" applyBorder="1" applyAlignment="1">
      <alignment horizontal="left" vertical="center" wrapText="1"/>
    </xf>
    <xf numFmtId="0" fontId="24" fillId="26" borderId="14" xfId="58" applyFont="1" applyFill="1" applyBorder="1" applyAlignment="1">
      <alignment vertical="center" wrapText="1"/>
    </xf>
    <xf numFmtId="0" fontId="24" fillId="26" borderId="13" xfId="1" applyFont="1" applyFill="1" applyBorder="1" applyAlignment="1">
      <alignment horizontal="center" vertical="center" wrapText="1"/>
    </xf>
    <xf numFmtId="0" fontId="24" fillId="26" borderId="13" xfId="58" applyFont="1" applyFill="1" applyBorder="1" applyAlignment="1">
      <alignment horizontal="left" vertical="center" wrapText="1"/>
    </xf>
    <xf numFmtId="0" fontId="24" fillId="26" borderId="13" xfId="58" applyFont="1" applyFill="1" applyBorder="1" applyAlignment="1">
      <alignment vertical="center" wrapText="1"/>
    </xf>
    <xf numFmtId="0" fontId="23" fillId="24" borderId="83" xfId="53" applyFont="1" applyFill="1" applyBorder="1" applyAlignment="1" applyProtection="1">
      <alignment horizontal="center" vertical="center" shrinkToFit="1"/>
      <protection locked="0"/>
    </xf>
    <xf numFmtId="0" fontId="24" fillId="0" borderId="80" xfId="1" applyFont="1" applyBorder="1" applyAlignment="1">
      <alignment horizontal="center" vertical="center"/>
    </xf>
    <xf numFmtId="0" fontId="22" fillId="24" borderId="81" xfId="1" applyFont="1" applyFill="1" applyBorder="1" applyAlignment="1">
      <alignment vertical="center"/>
    </xf>
    <xf numFmtId="0" fontId="23" fillId="24" borderId="76" xfId="1" applyFont="1" applyFill="1" applyBorder="1" applyAlignment="1">
      <alignment vertical="center" wrapText="1"/>
    </xf>
    <xf numFmtId="0" fontId="24" fillId="25" borderId="15" xfId="55" applyFont="1" applyFill="1" applyBorder="1" applyAlignment="1">
      <alignment vertical="center" wrapText="1"/>
    </xf>
    <xf numFmtId="0" fontId="24" fillId="24" borderId="77" xfId="1" applyFont="1" applyFill="1" applyBorder="1" applyAlignment="1">
      <alignment horizontal="center" vertical="center"/>
    </xf>
    <xf numFmtId="0" fontId="24" fillId="0" borderId="15" xfId="52" applyFont="1" applyBorder="1" applyAlignment="1">
      <alignment horizontal="left" vertical="center" wrapText="1" indent="2"/>
    </xf>
    <xf numFmtId="0" fontId="24" fillId="25" borderId="13" xfId="55" applyFont="1" applyFill="1" applyBorder="1" applyAlignment="1">
      <alignment vertical="center" wrapText="1"/>
    </xf>
    <xf numFmtId="0" fontId="24" fillId="25" borderId="84" xfId="55" applyFont="1" applyFill="1" applyBorder="1" applyAlignment="1">
      <alignment vertical="center" wrapText="1"/>
    </xf>
    <xf numFmtId="0" fontId="23" fillId="0" borderId="86" xfId="1" applyFont="1" applyBorder="1" applyProtection="1">
      <protection locked="0"/>
    </xf>
    <xf numFmtId="0" fontId="23" fillId="0" borderId="86" xfId="1" applyFont="1" applyBorder="1" applyAlignment="1" applyProtection="1">
      <alignment horizontal="center"/>
      <protection locked="0"/>
    </xf>
    <xf numFmtId="0" fontId="24" fillId="0" borderId="86" xfId="1" applyFont="1" applyBorder="1" applyAlignment="1" applyProtection="1">
      <alignment horizontal="center"/>
      <protection locked="0"/>
    </xf>
    <xf numFmtId="0" fontId="23" fillId="0" borderId="87" xfId="1" applyFont="1" applyBorder="1" applyAlignment="1" applyProtection="1">
      <alignment horizontal="center"/>
      <protection locked="0"/>
    </xf>
    <xf numFmtId="0" fontId="24" fillId="0" borderId="13" xfId="53" applyFont="1" applyBorder="1" applyAlignment="1">
      <alignment horizontal="left" vertical="center" wrapText="1"/>
    </xf>
    <xf numFmtId="0" fontId="24" fillId="0" borderId="84" xfId="53" applyFont="1" applyBorder="1" applyAlignment="1">
      <alignment horizontal="left" vertical="center" wrapText="1"/>
    </xf>
    <xf numFmtId="0" fontId="24" fillId="0" borderId="13" xfId="56" applyFont="1" applyBorder="1" applyAlignment="1">
      <alignment vertical="center" wrapText="1"/>
    </xf>
    <xf numFmtId="0" fontId="23" fillId="24" borderId="72" xfId="1" applyFont="1" applyFill="1" applyBorder="1" applyAlignment="1">
      <alignment vertical="center" wrapText="1"/>
    </xf>
    <xf numFmtId="0" fontId="24" fillId="0" borderId="13" xfId="1" applyFont="1" applyBorder="1" applyAlignment="1">
      <alignment horizontal="center" vertical="center"/>
    </xf>
    <xf numFmtId="0" fontId="24" fillId="0" borderId="13" xfId="1" applyFont="1" applyBorder="1" applyAlignment="1">
      <alignment horizontal="center" vertical="center" wrapText="1"/>
    </xf>
    <xf numFmtId="0" fontId="42" fillId="0" borderId="13" xfId="1" applyFont="1" applyBorder="1" applyAlignment="1">
      <alignment horizontal="center" vertical="center"/>
    </xf>
    <xf numFmtId="0" fontId="42" fillId="0" borderId="13" xfId="1" applyFont="1" applyBorder="1" applyAlignment="1">
      <alignment horizontal="center" vertical="center" wrapText="1"/>
    </xf>
    <xf numFmtId="0" fontId="42" fillId="0" borderId="13" xfId="39" applyFont="1" applyBorder="1" applyAlignment="1">
      <alignment horizontal="left" vertical="center" wrapText="1"/>
    </xf>
    <xf numFmtId="0" fontId="23" fillId="24" borderId="71" xfId="1" applyFont="1" applyFill="1" applyBorder="1" applyAlignment="1">
      <alignment vertical="center" wrapText="1"/>
    </xf>
    <xf numFmtId="0" fontId="24" fillId="0" borderId="98" xfId="1" applyFont="1" applyBorder="1" applyProtection="1">
      <protection locked="0"/>
    </xf>
    <xf numFmtId="0" fontId="23" fillId="0" borderId="99" xfId="1" applyFont="1" applyBorder="1" applyAlignment="1" applyProtection="1">
      <alignment horizontal="center"/>
      <protection locked="0"/>
    </xf>
    <xf numFmtId="0" fontId="24" fillId="0" borderId="99" xfId="1" applyFont="1" applyBorder="1" applyAlignment="1" applyProtection="1">
      <alignment horizontal="center"/>
      <protection locked="0"/>
    </xf>
    <xf numFmtId="0" fontId="24" fillId="0" borderId="22" xfId="1" applyFont="1" applyBorder="1" applyProtection="1">
      <protection locked="0"/>
    </xf>
    <xf numFmtId="0" fontId="43" fillId="24" borderId="13" xfId="39" applyFont="1" applyFill="1" applyBorder="1" applyAlignment="1" applyProtection="1">
      <alignment horizontal="center" vertical="center" shrinkToFit="1"/>
      <protection locked="0"/>
    </xf>
    <xf numFmtId="0" fontId="23" fillId="0" borderId="98" xfId="1" applyFont="1" applyBorder="1" applyProtection="1">
      <protection locked="0"/>
    </xf>
    <xf numFmtId="0" fontId="23" fillId="0" borderId="40" xfId="1" applyFont="1" applyBorder="1" applyProtection="1">
      <protection locked="0"/>
    </xf>
    <xf numFmtId="0" fontId="26" fillId="0" borderId="27" xfId="0" applyFont="1" applyBorder="1" applyAlignment="1" applyProtection="1">
      <alignment horizontal="center" wrapText="1"/>
      <protection locked="0"/>
    </xf>
    <xf numFmtId="0" fontId="23" fillId="0" borderId="28" xfId="1" applyFont="1" applyBorder="1" applyProtection="1">
      <protection locked="0"/>
    </xf>
    <xf numFmtId="0" fontId="23" fillId="0" borderId="28" xfId="1" applyFont="1" applyBorder="1" applyAlignment="1" applyProtection="1">
      <alignment horizontal="center"/>
      <protection locked="0"/>
    </xf>
    <xf numFmtId="0" fontId="24" fillId="0" borderId="28" xfId="1" applyFont="1" applyBorder="1" applyAlignment="1" applyProtection="1">
      <alignment horizontal="center"/>
      <protection locked="0"/>
    </xf>
    <xf numFmtId="0" fontId="23" fillId="0" borderId="29" xfId="1" applyFont="1" applyBorder="1" applyAlignment="1" applyProtection="1">
      <alignment horizontal="center"/>
      <protection locked="0"/>
    </xf>
    <xf numFmtId="0" fontId="24" fillId="0" borderId="14" xfId="52" applyFont="1" applyBorder="1" applyAlignment="1">
      <alignment horizontal="left" vertical="center" wrapText="1"/>
    </xf>
    <xf numFmtId="0" fontId="24" fillId="0" borderId="15" xfId="56" applyFont="1" applyBorder="1" applyAlignment="1">
      <alignment vertical="center" wrapText="1"/>
    </xf>
    <xf numFmtId="0" fontId="24" fillId="24" borderId="17" xfId="56" applyFont="1" applyFill="1" applyBorder="1" applyAlignment="1">
      <alignment horizontal="left" vertical="center" wrapText="1"/>
    </xf>
    <xf numFmtId="0" fontId="24" fillId="0" borderId="14" xfId="56" applyFont="1" applyBorder="1" applyAlignment="1">
      <alignment horizontal="left" vertical="center" wrapText="1" indent="2"/>
    </xf>
    <xf numFmtId="0" fontId="24" fillId="0" borderId="13" xfId="56" applyFont="1" applyBorder="1" applyAlignment="1">
      <alignment horizontal="left" vertical="center" wrapText="1" indent="2"/>
    </xf>
    <xf numFmtId="0" fontId="24" fillId="0" borderId="15" xfId="0" applyFont="1" applyBorder="1" applyAlignment="1">
      <alignment vertical="center" wrapText="1"/>
    </xf>
    <xf numFmtId="0" fontId="24" fillId="0" borderId="51" xfId="0" applyFont="1" applyBorder="1" applyAlignment="1">
      <alignment horizontal="left" vertical="center" wrapText="1" indent="2"/>
    </xf>
    <xf numFmtId="0" fontId="24" fillId="0" borderId="15" xfId="0" applyFont="1" applyBorder="1" applyAlignment="1">
      <alignment horizontal="left" vertical="center" wrapText="1" indent="2"/>
    </xf>
    <xf numFmtId="0" fontId="24" fillId="0" borderId="90" xfId="0" applyFont="1" applyBorder="1" applyAlignment="1">
      <alignment vertical="center" wrapText="1"/>
    </xf>
    <xf numFmtId="49" fontId="24" fillId="0" borderId="13" xfId="0" applyNumberFormat="1" applyFont="1" applyBorder="1" applyAlignment="1">
      <alignment vertical="center" wrapText="1"/>
    </xf>
    <xf numFmtId="0" fontId="24" fillId="0" borderId="15" xfId="1" applyFont="1" applyBorder="1" applyAlignment="1">
      <alignment horizontal="center" vertical="center"/>
    </xf>
    <xf numFmtId="0" fontId="24" fillId="0" borderId="15" xfId="1" applyFont="1" applyBorder="1" applyAlignment="1">
      <alignment horizontal="center" vertical="center" wrapText="1"/>
    </xf>
    <xf numFmtId="49" fontId="24" fillId="0" borderId="15" xfId="0" applyNumberFormat="1" applyFont="1" applyBorder="1" applyAlignment="1">
      <alignment vertical="center" wrapText="1"/>
    </xf>
    <xf numFmtId="49" fontId="35" fillId="0" borderId="14" xfId="0" applyNumberFormat="1" applyFont="1" applyBorder="1" applyAlignment="1">
      <alignment vertical="center" wrapText="1"/>
    </xf>
    <xf numFmtId="49" fontId="35" fillId="0" borderId="13" xfId="0" applyNumberFormat="1" applyFont="1" applyBorder="1" applyAlignment="1">
      <alignment vertical="center" wrapText="1"/>
    </xf>
    <xf numFmtId="0" fontId="35" fillId="0" borderId="13" xfId="0" applyFont="1" applyBorder="1" applyAlignment="1">
      <alignment vertical="center" wrapText="1"/>
    </xf>
    <xf numFmtId="49" fontId="35" fillId="0" borderId="15" xfId="0" applyNumberFormat="1" applyFont="1" applyBorder="1" applyAlignment="1">
      <alignment vertical="center" wrapText="1"/>
    </xf>
    <xf numFmtId="49" fontId="24" fillId="24" borderId="17" xfId="0" applyNumberFormat="1" applyFont="1" applyFill="1" applyBorder="1" applyAlignment="1">
      <alignment vertical="center" wrapText="1"/>
    </xf>
    <xf numFmtId="49" fontId="24" fillId="0" borderId="13" xfId="0" applyNumberFormat="1" applyFont="1" applyBorder="1" applyAlignment="1">
      <alignment horizontal="left" vertical="center" wrapText="1" indent="2"/>
    </xf>
    <xf numFmtId="49" fontId="35" fillId="0" borderId="14" xfId="0" applyNumberFormat="1" applyFont="1" applyBorder="1" applyAlignment="1">
      <alignment horizontal="left" vertical="center" wrapText="1" indent="2"/>
    </xf>
    <xf numFmtId="49" fontId="35" fillId="0" borderId="13" xfId="0" applyNumberFormat="1" applyFont="1" applyBorder="1" applyAlignment="1">
      <alignment horizontal="left" vertical="center" wrapText="1" indent="2"/>
    </xf>
    <xf numFmtId="49" fontId="24" fillId="0" borderId="15" xfId="0" applyNumberFormat="1" applyFont="1" applyBorder="1" applyAlignment="1">
      <alignment horizontal="left" vertical="center" wrapText="1" indent="2"/>
    </xf>
    <xf numFmtId="49" fontId="24" fillId="0" borderId="14" xfId="0" applyNumberFormat="1" applyFont="1" applyBorder="1" applyAlignment="1">
      <alignment horizontal="left" vertical="center" wrapText="1" indent="2"/>
    </xf>
    <xf numFmtId="49" fontId="35" fillId="0" borderId="15" xfId="0" applyNumberFormat="1" applyFont="1" applyBorder="1" applyAlignment="1">
      <alignment horizontal="left" vertical="center" wrapText="1" indent="2"/>
    </xf>
    <xf numFmtId="49" fontId="35" fillId="0" borderId="15" xfId="0" applyNumberFormat="1" applyFont="1" applyBorder="1" applyAlignment="1">
      <alignment horizontal="left" vertical="center" wrapText="1"/>
    </xf>
    <xf numFmtId="49" fontId="24" fillId="24" borderId="17" xfId="0" applyNumberFormat="1" applyFont="1" applyFill="1" applyBorder="1" applyAlignment="1">
      <alignment vertical="center"/>
    </xf>
    <xf numFmtId="49" fontId="24" fillId="0" borderId="13" xfId="0" applyNumberFormat="1" applyFont="1" applyBorder="1" applyAlignment="1">
      <alignment horizontal="left" vertical="center" indent="2"/>
    </xf>
    <xf numFmtId="49" fontId="35" fillId="0" borderId="13" xfId="0" applyNumberFormat="1" applyFont="1" applyBorder="1" applyAlignment="1">
      <alignment horizontal="left" vertical="center" wrapText="1" indent="4"/>
    </xf>
    <xf numFmtId="49" fontId="24" fillId="0" borderId="13" xfId="0" applyNumberFormat="1" applyFont="1" applyBorder="1" applyAlignment="1">
      <alignment horizontal="left" vertical="center" wrapText="1" indent="4"/>
    </xf>
    <xf numFmtId="49" fontId="24" fillId="0" borderId="15" xfId="0" applyNumberFormat="1" applyFont="1" applyBorder="1" applyAlignment="1">
      <alignment horizontal="left" vertical="center" wrapText="1" indent="4"/>
    </xf>
    <xf numFmtId="49" fontId="24" fillId="0" borderId="14" xfId="0" applyNumberFormat="1" applyFont="1" applyBorder="1" applyAlignment="1">
      <alignment horizontal="left" vertical="center" wrapText="1" indent="4"/>
    </xf>
    <xf numFmtId="0" fontId="24" fillId="0" borderId="13" xfId="0" applyFont="1" applyBorder="1" applyAlignment="1">
      <alignment horizontal="left" vertical="center" wrapText="1" indent="4"/>
    </xf>
    <xf numFmtId="49" fontId="24" fillId="0" borderId="15" xfId="0" applyNumberFormat="1" applyFont="1" applyBorder="1" applyAlignment="1">
      <alignment horizontal="left" vertical="center" wrapText="1"/>
    </xf>
    <xf numFmtId="49" fontId="24" fillId="24" borderId="17" xfId="0" applyNumberFormat="1" applyFont="1" applyFill="1" applyBorder="1" applyAlignment="1">
      <alignment horizontal="left" vertical="center" wrapText="1"/>
    </xf>
    <xf numFmtId="49" fontId="24" fillId="24" borderId="17" xfId="0" applyNumberFormat="1" applyFont="1" applyFill="1" applyBorder="1" applyAlignment="1">
      <alignment horizontal="left" vertical="center" wrapText="1" indent="2"/>
    </xf>
    <xf numFmtId="49" fontId="24" fillId="0" borderId="14" xfId="0" applyNumberFormat="1" applyFont="1" applyBorder="1" applyAlignment="1">
      <alignment horizontal="left" vertical="center" wrapText="1" indent="6"/>
    </xf>
    <xf numFmtId="49" fontId="35" fillId="0" borderId="13" xfId="0" applyNumberFormat="1" applyFont="1" applyBorder="1" applyAlignment="1">
      <alignment horizontal="left" vertical="center" wrapText="1" indent="6"/>
    </xf>
    <xf numFmtId="49" fontId="24" fillId="0" borderId="14" xfId="0" applyNumberFormat="1" applyFont="1" applyBorder="1" applyAlignment="1">
      <alignment horizontal="left" vertical="center" wrapText="1"/>
    </xf>
    <xf numFmtId="49" fontId="24" fillId="0" borderId="13" xfId="0" applyNumberFormat="1" applyFont="1" applyBorder="1" applyAlignment="1">
      <alignment horizontal="left" vertical="center" wrapText="1"/>
    </xf>
    <xf numFmtId="0" fontId="23" fillId="24" borderId="51" xfId="53" applyFont="1" applyFill="1" applyBorder="1" applyAlignment="1" applyProtection="1">
      <alignment horizontal="center" vertical="center" shrinkToFit="1"/>
      <protection locked="0"/>
    </xf>
    <xf numFmtId="0" fontId="23" fillId="27" borderId="68" xfId="1" applyFont="1" applyFill="1" applyBorder="1" applyAlignment="1">
      <alignment horizontal="center" vertical="center" textRotation="90" wrapText="1"/>
    </xf>
    <xf numFmtId="0" fontId="23" fillId="27" borderId="68" xfId="1" applyFont="1" applyFill="1" applyBorder="1" applyAlignment="1">
      <alignment horizontal="center" vertical="center" textRotation="90"/>
    </xf>
    <xf numFmtId="0" fontId="23" fillId="27" borderId="46" xfId="1" applyFont="1" applyFill="1" applyBorder="1" applyAlignment="1">
      <alignment horizontal="center" vertical="center" textRotation="90"/>
    </xf>
    <xf numFmtId="0" fontId="22" fillId="24" borderId="0" xfId="1" applyFont="1" applyFill="1" applyAlignment="1">
      <alignment vertical="center"/>
    </xf>
    <xf numFmtId="0" fontId="22" fillId="24" borderId="97" xfId="1" applyFont="1" applyFill="1" applyBorder="1" applyAlignment="1">
      <alignment vertical="center"/>
    </xf>
    <xf numFmtId="0" fontId="26" fillId="0" borderId="91" xfId="0" applyFont="1" applyBorder="1" applyAlignment="1">
      <alignment horizontal="center" wrapText="1"/>
    </xf>
    <xf numFmtId="0" fontId="23" fillId="0" borderId="92" xfId="1" applyFont="1" applyBorder="1"/>
    <xf numFmtId="0" fontId="24" fillId="0" borderId="13" xfId="0" applyFont="1" applyBorder="1" applyAlignment="1">
      <alignment horizontal="left" vertical="center" indent="2"/>
    </xf>
    <xf numFmtId="0" fontId="24" fillId="0" borderId="71" xfId="0" applyFont="1" applyBorder="1" applyAlignment="1">
      <alignment horizontal="left" vertical="center" wrapText="1"/>
    </xf>
    <xf numFmtId="0" fontId="24" fillId="0" borderId="14" xfId="0" applyFont="1" applyBorder="1" applyAlignment="1">
      <alignment horizontal="left" vertical="center" indent="2"/>
    </xf>
    <xf numFmtId="0" fontId="26" fillId="0" borderId="15" xfId="0" applyFont="1" applyBorder="1" applyAlignment="1" applyProtection="1">
      <alignment horizontal="center" wrapText="1"/>
      <protection locked="0"/>
    </xf>
    <xf numFmtId="0" fontId="24" fillId="0" borderId="14" xfId="52" applyFont="1" applyBorder="1" applyAlignment="1">
      <alignment vertical="center" wrapText="1"/>
    </xf>
    <xf numFmtId="0" fontId="35" fillId="0" borderId="13" xfId="52" applyFont="1" applyBorder="1" applyAlignment="1">
      <alignment vertical="center" wrapText="1"/>
    </xf>
    <xf numFmtId="0" fontId="24" fillId="0" borderId="51" xfId="52" applyFont="1" applyBorder="1" applyAlignment="1">
      <alignment horizontal="left" vertical="center" wrapText="1" indent="2"/>
    </xf>
    <xf numFmtId="0" fontId="24" fillId="0" borderId="16" xfId="0" applyFont="1" applyBorder="1" applyAlignment="1">
      <alignment horizontal="left" vertical="center" wrapText="1"/>
    </xf>
    <xf numFmtId="0" fontId="24" fillId="24" borderId="17" xfId="53" applyFont="1" applyFill="1" applyBorder="1" applyAlignment="1">
      <alignment vertical="center" wrapText="1"/>
    </xf>
    <xf numFmtId="0" fontId="24" fillId="0" borderId="13" xfId="53" applyFont="1" applyBorder="1" applyAlignment="1">
      <alignment horizontal="left" vertical="center" wrapText="1" indent="2"/>
    </xf>
    <xf numFmtId="0" fontId="24" fillId="0" borderId="51" xfId="1" applyFont="1" applyBorder="1" applyAlignment="1">
      <alignment horizontal="center" vertical="center" wrapText="1"/>
    </xf>
    <xf numFmtId="0" fontId="24" fillId="0" borderId="15" xfId="53" applyFont="1" applyBorder="1" applyAlignment="1">
      <alignment vertical="center" wrapText="1"/>
    </xf>
    <xf numFmtId="0" fontId="24" fillId="0" borderId="14" xfId="53" applyFont="1" applyBorder="1" applyAlignment="1">
      <alignment vertical="center" wrapText="1"/>
    </xf>
    <xf numFmtId="0" fontId="24" fillId="0" borderId="14" xfId="53" applyFont="1" applyBorder="1" applyAlignment="1">
      <alignment horizontal="left" vertical="center" wrapText="1" indent="2"/>
    </xf>
    <xf numFmtId="0" fontId="0" fillId="0" borderId="51" xfId="0" applyBorder="1"/>
    <xf numFmtId="0" fontId="0" fillId="0" borderId="13" xfId="0" applyBorder="1"/>
    <xf numFmtId="0" fontId="23" fillId="0" borderId="89" xfId="1" applyFont="1" applyBorder="1" applyAlignment="1" applyProtection="1">
      <alignment horizontal="center"/>
      <protection locked="0"/>
    </xf>
    <xf numFmtId="0" fontId="24" fillId="0" borderId="51" xfId="0" applyFont="1" applyBorder="1" applyAlignment="1">
      <alignment vertical="center" wrapText="1"/>
    </xf>
    <xf numFmtId="0" fontId="35" fillId="0" borderId="14" xfId="0" applyFont="1" applyBorder="1" applyAlignment="1">
      <alignment horizontal="left" vertical="center" wrapText="1" indent="2"/>
    </xf>
    <xf numFmtId="0" fontId="35" fillId="0" borderId="15" xfId="0" applyFont="1" applyBorder="1" applyAlignment="1">
      <alignment horizontal="left" vertical="center" wrapText="1" indent="2"/>
    </xf>
    <xf numFmtId="0" fontId="35" fillId="0" borderId="13" xfId="0" applyFont="1" applyBorder="1" applyAlignment="1">
      <alignment horizontal="left" vertical="center" wrapText="1" indent="2"/>
    </xf>
    <xf numFmtId="0" fontId="35" fillId="0" borderId="15" xfId="0" applyFont="1" applyBorder="1" applyAlignment="1">
      <alignment vertical="center" wrapText="1"/>
    </xf>
    <xf numFmtId="0" fontId="35" fillId="24" borderId="17" xfId="0" applyFont="1" applyFill="1" applyBorder="1" applyAlignment="1">
      <alignment vertical="center" wrapText="1"/>
    </xf>
    <xf numFmtId="0" fontId="37" fillId="0" borderId="14" xfId="53" applyFont="1" applyBorder="1" applyAlignment="1">
      <alignment horizontal="left" vertical="center" wrapText="1"/>
    </xf>
    <xf numFmtId="0" fontId="37" fillId="0" borderId="13" xfId="53" applyFont="1" applyBorder="1" applyAlignment="1">
      <alignment horizontal="left" vertical="center" wrapText="1"/>
    </xf>
    <xf numFmtId="0" fontId="23" fillId="0" borderId="13" xfId="53" applyFont="1" applyBorder="1" applyAlignment="1">
      <alignment horizontal="left" vertical="center" wrapText="1"/>
    </xf>
    <xf numFmtId="0" fontId="24" fillId="24" borderId="0" xfId="1" applyFont="1" applyFill="1" applyAlignment="1">
      <alignment horizontal="center" vertical="center"/>
    </xf>
    <xf numFmtId="0" fontId="24" fillId="24" borderId="0" xfId="1" applyFont="1" applyFill="1" applyAlignment="1">
      <alignment horizontal="center" vertical="center" wrapText="1"/>
    </xf>
    <xf numFmtId="0" fontId="23" fillId="24" borderId="17" xfId="53" applyFont="1" applyFill="1" applyBorder="1" applyAlignment="1">
      <alignment horizontal="left" vertical="center" wrapText="1"/>
    </xf>
    <xf numFmtId="0" fontId="37" fillId="0" borderId="14" xfId="53" applyFont="1" applyBorder="1" applyAlignment="1">
      <alignment horizontal="left" vertical="center" wrapText="1" indent="2"/>
    </xf>
    <xf numFmtId="0" fontId="37" fillId="0" borderId="13" xfId="53" applyFont="1" applyBorder="1" applyAlignment="1">
      <alignment horizontal="left" vertical="center" wrapText="1" indent="2"/>
    </xf>
    <xf numFmtId="0" fontId="23" fillId="0" borderId="13" xfId="53" applyFont="1" applyBorder="1" applyAlignment="1">
      <alignment horizontal="left" vertical="center" wrapText="1" indent="2"/>
    </xf>
    <xf numFmtId="0" fontId="37" fillId="0" borderId="15" xfId="53" applyFont="1" applyBorder="1" applyAlignment="1">
      <alignment horizontal="left" vertical="center" wrapText="1" indent="2"/>
    </xf>
    <xf numFmtId="0" fontId="23" fillId="0" borderId="14" xfId="53" applyFont="1" applyBorder="1" applyAlignment="1">
      <alignment horizontal="left" vertical="center" wrapText="1" indent="2"/>
    </xf>
    <xf numFmtId="0" fontId="37" fillId="0" borderId="15" xfId="53" applyFont="1" applyBorder="1" applyAlignment="1">
      <alignment horizontal="left" vertical="center" wrapText="1"/>
    </xf>
    <xf numFmtId="0" fontId="37" fillId="0" borderId="15" xfId="53" applyFont="1" applyBorder="1" applyAlignment="1">
      <alignment vertical="center" wrapText="1"/>
    </xf>
    <xf numFmtId="0" fontId="22" fillId="24" borderId="17" xfId="53" applyFont="1" applyFill="1" applyBorder="1" applyAlignment="1">
      <alignment horizontal="left" vertical="center"/>
    </xf>
    <xf numFmtId="0" fontId="23" fillId="0" borderId="13" xfId="53" applyFont="1" applyBorder="1" applyAlignment="1">
      <alignment vertical="center" wrapText="1"/>
    </xf>
    <xf numFmtId="0" fontId="37" fillId="0" borderId="13" xfId="53" applyFont="1" applyBorder="1" applyAlignment="1">
      <alignment vertical="center" wrapText="1"/>
    </xf>
    <xf numFmtId="0" fontId="24" fillId="0" borderId="84" xfId="0" applyFont="1" applyBorder="1" applyAlignment="1">
      <alignment horizontal="left" vertical="center" wrapText="1" indent="2"/>
    </xf>
    <xf numFmtId="0" fontId="24" fillId="0" borderId="15" xfId="53" applyFont="1" applyBorder="1" applyAlignment="1">
      <alignment horizontal="left" vertical="center" wrapText="1"/>
    </xf>
    <xf numFmtId="0" fontId="24" fillId="0" borderId="0" xfId="53" applyFont="1" applyAlignment="1">
      <alignment vertical="center" wrapText="1"/>
    </xf>
    <xf numFmtId="0" fontId="23" fillId="24" borderId="0" xfId="53" applyFont="1" applyFill="1" applyAlignment="1">
      <alignment horizontal="center" vertical="center" shrinkToFit="1"/>
    </xf>
    <xf numFmtId="0" fontId="24" fillId="0" borderId="13" xfId="58" applyFont="1" applyBorder="1" applyAlignment="1">
      <alignment vertical="center" wrapText="1"/>
    </xf>
    <xf numFmtId="0" fontId="24" fillId="0" borderId="15" xfId="58" applyFont="1" applyBorder="1" applyAlignment="1">
      <alignment vertical="center" wrapText="1"/>
    </xf>
    <xf numFmtId="0" fontId="0" fillId="0" borderId="0" xfId="0" applyAlignment="1">
      <alignment horizontal="center" vertical="center"/>
    </xf>
    <xf numFmtId="0" fontId="38" fillId="27" borderId="46" xfId="1" applyFont="1" applyFill="1" applyBorder="1" applyAlignment="1">
      <alignment horizontal="center" vertical="center" wrapText="1"/>
    </xf>
    <xf numFmtId="0" fontId="38" fillId="27" borderId="47" xfId="1" applyFont="1" applyFill="1" applyBorder="1" applyAlignment="1">
      <alignment horizontal="center" vertical="center" wrapText="1"/>
    </xf>
    <xf numFmtId="0" fontId="0" fillId="0" borderId="60" xfId="0" applyBorder="1" applyAlignment="1">
      <alignment horizontal="center"/>
    </xf>
    <xf numFmtId="0" fontId="22" fillId="24" borderId="17" xfId="52" applyFont="1" applyFill="1" applyBorder="1" applyAlignment="1">
      <alignment horizontal="left" vertical="center"/>
    </xf>
  </cellXfs>
  <cellStyles count="5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alculation 3" xfId="50"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Input 3" xfId="51" xr:uid="{00000000-0005-0000-0000-000023000000}"/>
    <cellStyle name="Linked Cell 2" xfId="36" xr:uid="{00000000-0005-0000-0000-000024000000}"/>
    <cellStyle name="Neutral 2" xfId="37" xr:uid="{00000000-0005-0000-0000-000025000000}"/>
    <cellStyle name="Normal" xfId="0" builtinId="0"/>
    <cellStyle name="Normal 2" xfId="38" xr:uid="{00000000-0005-0000-0000-000027000000}"/>
    <cellStyle name="Normal 3" xfId="39" xr:uid="{00000000-0005-0000-0000-000028000000}"/>
    <cellStyle name="Normal 3 2" xfId="53" xr:uid="{00000000-0005-0000-0000-000029000000}"/>
    <cellStyle name="Normal 3 64" xfId="54" xr:uid="{00000000-0005-0000-0000-00002A000000}"/>
    <cellStyle name="Normal 3 64 2" xfId="57" xr:uid="{00000000-0005-0000-0000-00002B000000}"/>
    <cellStyle name="Normal 4" xfId="1" xr:uid="{00000000-0005-0000-0000-00002C000000}"/>
    <cellStyle name="Normal 5" xfId="52" xr:uid="{00000000-0005-0000-0000-00002D000000}"/>
    <cellStyle name="Normal 5 2" xfId="58" xr:uid="{EB701D83-FCD7-4C05-9FF0-8BDA27B7D32D}"/>
    <cellStyle name="Normal 83 2" xfId="55" xr:uid="{00000000-0005-0000-0000-00002E000000}"/>
    <cellStyle name="Normal_Interfaces" xfId="56" xr:uid="{00000000-0005-0000-0000-00002F000000}"/>
    <cellStyle name="Note 2" xfId="45" xr:uid="{00000000-0005-0000-0000-000030000000}"/>
    <cellStyle name="Note 2 2" xfId="49" xr:uid="{00000000-0005-0000-0000-000031000000}"/>
    <cellStyle name="Note 3" xfId="40" xr:uid="{00000000-0005-0000-0000-000032000000}"/>
    <cellStyle name="Note 4" xfId="46" xr:uid="{00000000-0005-0000-0000-000033000000}"/>
    <cellStyle name="Output 2" xfId="41" xr:uid="{00000000-0005-0000-0000-000034000000}"/>
    <cellStyle name="Output 3" xfId="47" xr:uid="{00000000-0005-0000-0000-000035000000}"/>
    <cellStyle name="Title 2" xfId="42" xr:uid="{00000000-0005-0000-0000-000036000000}"/>
    <cellStyle name="Total 2" xfId="43" xr:uid="{00000000-0005-0000-0000-000037000000}"/>
    <cellStyle name="Total 3" xfId="48" xr:uid="{00000000-0005-0000-0000-000038000000}"/>
    <cellStyle name="Warning Text 2" xfId="44" xr:uid="{00000000-0005-0000-0000-000039000000}"/>
  </cellStyles>
  <dxfs count="829">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border>
        <bottom style="medium">
          <color indexed="64"/>
        </bottom>
      </border>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border diagonalUp="0" diagonalDown="0">
        <left style="medium">
          <color auto="1"/>
        </left>
        <right style="medium">
          <color auto="1"/>
        </right>
        <top/>
        <bottom/>
      </border>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0"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style="medium">
          <color indexed="64"/>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style="medium">
          <color indexed="64"/>
        </left>
        <right/>
        <top/>
        <bottom style="medium">
          <color indexed="64"/>
        </bottom>
      </border>
      <protection locked="1" hidden="0"/>
    </dxf>
    <dxf>
      <border outline="0">
        <top style="medium">
          <color indexed="64"/>
        </top>
        <bottom style="thin">
          <color indexed="64"/>
        </bottom>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ertAlign val="baseline"/>
        <sz val="16"/>
        <color theme="0"/>
        <name val="Arial"/>
        <scheme val="none"/>
      </font>
      <fill>
        <patternFill patternType="solid">
          <fgColor indexed="64"/>
          <bgColor rgb="FFA34D43"/>
        </patternFill>
      </fill>
      <alignment horizontal="center" vertical="center" textRotation="0" wrapText="1" indent="0" justifyLastLine="0" shrinkToFit="0" readingOrder="0"/>
      <protection locked="1" hidden="0"/>
    </dxf>
    <dxf>
      <fill>
        <patternFill>
          <bgColor theme="1"/>
        </patternFill>
      </fill>
    </dxf>
  </dxfs>
  <tableStyles count="1" defaultTableStyle="TableStyleMedium2" defaultPivotStyle="PivotStyleLight16">
    <tableStyle name="Table Style 1" pivot="0" count="1" xr9:uid="{00000000-0011-0000-FFFF-FFFF00000000}">
      <tableStyleElement type="firstColumnStripe" dxfId="828"/>
    </tableStyle>
  </tableStyles>
  <colors>
    <mruColors>
      <color rgb="FFFFCC00"/>
      <color rgb="FFEBF1DE"/>
      <color rgb="FFFFFFC5"/>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3:I162" headerRowCount="0" totalsRowShown="0" headerRowDxfId="827" dataDxfId="825" headerRowBorderDxfId="826" tableBorderDxfId="824" headerRowCellStyle="Normal 4">
  <tableColumns count="8">
    <tableColumn id="1" xr3:uid="{00000000-0010-0000-0000-000001000000}" name="Proposal Evaluation Summary" headerRowDxfId="823" dataDxfId="822"/>
    <tableColumn id="2" xr3:uid="{00000000-0010-0000-0000-000002000000}" name="Column1" headerRowDxfId="821" dataDxfId="820"/>
    <tableColumn id="3" xr3:uid="{00000000-0010-0000-0000-000003000000}" name="Column2" headerRowDxfId="819" dataDxfId="818"/>
    <tableColumn id="4" xr3:uid="{00000000-0010-0000-0000-000004000000}" name="Column3" headerRowDxfId="817" dataDxfId="816"/>
    <tableColumn id="5" xr3:uid="{00000000-0010-0000-0000-000005000000}" name="Column4" headerRowDxfId="815" dataDxfId="814"/>
    <tableColumn id="6" xr3:uid="{00000000-0010-0000-0000-000006000000}" name="Column5" headerRowDxfId="813" dataDxfId="812"/>
    <tableColumn id="7" xr3:uid="{00000000-0010-0000-0000-000007000000}" name="Column6" headerRowDxfId="811" dataDxfId="810"/>
    <tableColumn id="8" xr3:uid="{00000000-0010-0000-0000-000008000000}" name="Column7" headerRowDxfId="809" dataDxfId="808"/>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9000000}" name="Table15810" displayName="Table15810" ref="B2:L19" totalsRowShown="0" headerRowDxfId="695" dataDxfId="694" tableBorderDxfId="693" headerRowCellStyle="Normal 4">
  <autoFilter ref="B2:L19" xr:uid="{00000000-0009-0000-0100-000009000000}"/>
  <tableColumns count="11">
    <tableColumn id="1" xr3:uid="{00000000-0010-0000-0900-000001000000}" name="Spec_x000a_ID" dataDxfId="692" dataCellStyle="Normal 4"/>
    <tableColumn id="2" xr3:uid="{00000000-0010-0000-0900-000002000000}" name="Spec Number" dataDxfId="691" dataCellStyle="Normal 4"/>
    <tableColumn id="3" xr3:uid="{00000000-0010-0000-0900-000003000000}" name="Importance" dataDxfId="690" dataCellStyle="Normal 4"/>
    <tableColumn id="4" xr3:uid="{00000000-0010-0000-0900-000004000000}" name="Description of Capability_x000a__x000a_CAD Interface LiveScan Module" dataDxfId="689" dataCellStyle="Normal 3"/>
    <tableColumn id="5" xr3:uid="{00000000-0010-0000-0900-000005000000}" name="Availability" dataDxfId="688" dataCellStyle="Normal 3"/>
    <tableColumn id="6" xr3:uid="{00000000-0010-0000-0900-000006000000}" name="Descriptions" dataDxfId="687"/>
    <tableColumn id="7" xr3:uid="{00000000-0010-0000-0900-000007000000}" name="Summary" dataDxfId="686" dataCellStyle="Normal 4"/>
    <tableColumn id="8" xr3:uid="{00000000-0010-0000-0900-000008000000}" name="Spec Weight" dataDxfId="685" dataCellStyle="Normal 4">
      <calculatedColumnFormula>VLOOKUP($D3,SpecData,2,FALSE)</calculatedColumnFormula>
    </tableColumn>
    <tableColumn id="9" xr3:uid="{00000000-0010-0000-0900-000009000000}" name="Avail Weight" dataDxfId="684" dataCellStyle="Normal 4">
      <calculatedColumnFormula>VLOOKUP($F3,AvailabilityData,2,FALSE)</calculatedColumnFormula>
    </tableColumn>
    <tableColumn id="10" xr3:uid="{00000000-0010-0000-0900-00000A000000}" name="Score" dataDxfId="683" dataCellStyle="Normal 4">
      <calculatedColumnFormula>SUM(K4:K478)</calculatedColumnFormula>
    </tableColumn>
    <tableColumn id="11" xr3:uid="{00000000-0010-0000-0900-00000B000000}" name="Review Comments" dataDxfId="682" dataCellStyle="Normal 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Table122232930" displayName="Table122232930" ref="B2:L52" totalsRowShown="0" headerRowDxfId="681" dataDxfId="680" tableBorderDxfId="679" headerRowCellStyle="Normal 4">
  <autoFilter ref="B2:L52" xr:uid="{00000000-0009-0000-0100-00001D000000}"/>
  <tableColumns count="11">
    <tableColumn id="1" xr3:uid="{00000000-0010-0000-0A00-000001000000}" name="Spec_x000a_ID" dataDxfId="678" dataCellStyle="Normal 4"/>
    <tableColumn id="2" xr3:uid="{00000000-0010-0000-0A00-000002000000}" name="Spec Number" dataDxfId="677" dataCellStyle="Normal 4"/>
    <tableColumn id="3" xr3:uid="{00000000-0010-0000-0A00-000003000000}" name="Importance" dataDxfId="676" dataCellStyle="Normal 4"/>
    <tableColumn id="4" xr3:uid="{00000000-0010-0000-0A00-000004000000}" name="Description of Capability_x000a__x000a_CAD Interfaces Dispatch Protocol Software" dataDxfId="675" dataCellStyle="Normal 3"/>
    <tableColumn id="5" xr3:uid="{00000000-0010-0000-0A00-000005000000}" name="Availability" dataDxfId="674" dataCellStyle="Normal 3"/>
    <tableColumn id="6" xr3:uid="{00000000-0010-0000-0A00-000006000000}" name="Descriptions" dataDxfId="673"/>
    <tableColumn id="7" xr3:uid="{00000000-0010-0000-0A00-000007000000}" name="Summary" dataDxfId="672"/>
    <tableColumn id="8" xr3:uid="{00000000-0010-0000-0A00-000008000000}" name="Spec Weight" dataDxfId="671">
      <calculatedColumnFormula>VLOOKUP($D3,SpecData,2,FALSE)</calculatedColumnFormula>
    </tableColumn>
    <tableColumn id="9" xr3:uid="{00000000-0010-0000-0A00-000009000000}" name="Avail Weight" dataDxfId="670">
      <calculatedColumnFormula>VLOOKUP($F3,AvailabilityData,2,FALSE)</calculatedColumnFormula>
    </tableColumn>
    <tableColumn id="10" xr3:uid="{00000000-0010-0000-0A00-00000A000000}" name="Score" dataDxfId="669">
      <calculatedColumnFormula>I3*J3</calculatedColumnFormula>
    </tableColumn>
    <tableColumn id="11" xr3:uid="{00000000-0010-0000-0A00-00000B000000}" name="Review Comments" dataDxfId="668" dataCellStyle="Normal 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Table1581011" displayName="Table1581011" ref="B2:L19" totalsRowShown="0" headerRowDxfId="667" dataDxfId="666" tableBorderDxfId="665" headerRowCellStyle="Normal 4">
  <autoFilter ref="B2:L19" xr:uid="{00000000-0009-0000-0100-00000A000000}"/>
  <tableColumns count="11">
    <tableColumn id="1" xr3:uid="{00000000-0010-0000-0B00-000001000000}" name="Spec_x000a_ID" dataDxfId="664" dataCellStyle="Normal 4"/>
    <tableColumn id="2" xr3:uid="{00000000-0010-0000-0B00-000002000000}" name="Spec Number" dataDxfId="663" dataCellStyle="Normal 4"/>
    <tableColumn id="3" xr3:uid="{00000000-0010-0000-0B00-000003000000}" name="Importance" dataDxfId="662" dataCellStyle="Normal 4"/>
    <tableColumn id="4" xr3:uid="{00000000-0010-0000-0B00-000004000000}" name="Description of Capability_x000a__x000a_CAD Interface EMS Billing" dataDxfId="661" dataCellStyle="Normal 3"/>
    <tableColumn id="5" xr3:uid="{00000000-0010-0000-0B00-000005000000}" name="Availability" dataDxfId="660" dataCellStyle="Normal 3"/>
    <tableColumn id="6" xr3:uid="{00000000-0010-0000-0B00-000006000000}" name="Descriptions" dataDxfId="659"/>
    <tableColumn id="7" xr3:uid="{00000000-0010-0000-0B00-000007000000}" name="Summary" dataDxfId="658" dataCellStyle="Normal 4"/>
    <tableColumn id="8" xr3:uid="{00000000-0010-0000-0B00-000008000000}" name="Spec Weight" dataDxfId="657" dataCellStyle="Normal 4">
      <calculatedColumnFormula>VLOOKUP($D3,SpecData,2,FALSE)</calculatedColumnFormula>
    </tableColumn>
    <tableColumn id="9" xr3:uid="{00000000-0010-0000-0B00-000009000000}" name="Avail Weight" dataDxfId="656" dataCellStyle="Normal 4">
      <calculatedColumnFormula>VLOOKUP($F3,AvailabilityData,2,FALSE)</calculatedColumnFormula>
    </tableColumn>
    <tableColumn id="10" xr3:uid="{00000000-0010-0000-0B00-00000A000000}" name="Score" dataDxfId="655" dataCellStyle="Normal 4">
      <calculatedColumnFormula>SUM(K4:K478)</calculatedColumnFormula>
    </tableColumn>
    <tableColumn id="11" xr3:uid="{00000000-0010-0000-0B00-00000B000000}" name="Review Comments" dataDxfId="654" dataCellStyle="Normal 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C000000}" name="Table12223" displayName="Table12223" ref="B2:L23" totalsRowShown="0" headerRowDxfId="653" dataDxfId="652" tableBorderDxfId="651" headerRowCellStyle="Normal 4">
  <autoFilter ref="B2:L23" xr:uid="{00000000-0009-0000-0100-000016000000}"/>
  <tableColumns count="11">
    <tableColumn id="1" xr3:uid="{00000000-0010-0000-0C00-000001000000}" name="Spec_x000a_ID" dataDxfId="650" dataCellStyle="Normal 4"/>
    <tableColumn id="2" xr3:uid="{00000000-0010-0000-0C00-000002000000}" name="Spec Number" dataDxfId="649" dataCellStyle="Normal 4"/>
    <tableColumn id="3" xr3:uid="{00000000-0010-0000-0C00-000003000000}" name="Importance" dataDxfId="648" dataCellStyle="Normal 4"/>
    <tableColumn id="4" xr3:uid="{00000000-0010-0000-0C00-000004000000}" name="Description of Capability_x000a__x000a_CAD Interfaces E-9-1-1" dataDxfId="647" dataCellStyle="Normal 3"/>
    <tableColumn id="5" xr3:uid="{00000000-0010-0000-0C00-000005000000}" name="Availability" dataDxfId="646" dataCellStyle="Normal 3"/>
    <tableColumn id="6" xr3:uid="{00000000-0010-0000-0C00-000006000000}" name="Descriptions" dataDxfId="645"/>
    <tableColumn id="7" xr3:uid="{00000000-0010-0000-0C00-000007000000}" name="Summary" dataDxfId="644"/>
    <tableColumn id="8" xr3:uid="{00000000-0010-0000-0C00-000008000000}" name="Spec Weight" dataDxfId="643">
      <calculatedColumnFormula>VLOOKUP($D3,SpecData,2,FALSE)</calculatedColumnFormula>
    </tableColumn>
    <tableColumn id="9" xr3:uid="{00000000-0010-0000-0C00-000009000000}" name="Avail Weight" dataDxfId="642">
      <calculatedColumnFormula>VLOOKUP($F3,AvailabilityData,2,FALSE)</calculatedColumnFormula>
    </tableColumn>
    <tableColumn id="10" xr3:uid="{00000000-0010-0000-0C00-00000A000000}" name="Score" dataDxfId="641">
      <calculatedColumnFormula>I3*J3</calculatedColumnFormula>
    </tableColumn>
    <tableColumn id="11" xr3:uid="{00000000-0010-0000-0C00-00000B000000}" name="Review Comments" dataDxfId="640" dataCellStyle="Normal 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58101112" displayName="Table158101112" ref="B2:L21" totalsRowShown="0" headerRowDxfId="639" dataDxfId="638" tableBorderDxfId="637" headerRowCellStyle="Normal 4">
  <autoFilter ref="B2:L21" xr:uid="{00000000-0009-0000-0100-00000B000000}"/>
  <tableColumns count="11">
    <tableColumn id="1" xr3:uid="{00000000-0010-0000-0D00-000001000000}" name="Spec_x000a_ID" dataDxfId="636" dataCellStyle="Normal 4"/>
    <tableColumn id="2" xr3:uid="{00000000-0010-0000-0D00-000002000000}" name="Spec Number" dataDxfId="635" dataCellStyle="Normal 4"/>
    <tableColumn id="3" xr3:uid="{00000000-0010-0000-0D00-000003000000}" name="Importance" dataDxfId="634" dataCellStyle="Normal 4"/>
    <tableColumn id="4" xr3:uid="{00000000-0010-0000-0D00-000004000000}" name="Description of Capability_x000a__x000a_CAD Interface Emergency Notification System" dataDxfId="633" dataCellStyle="Normal 3"/>
    <tableColumn id="5" xr3:uid="{00000000-0010-0000-0D00-000005000000}" name="Availability" dataDxfId="632" dataCellStyle="Normal 3"/>
    <tableColumn id="6" xr3:uid="{00000000-0010-0000-0D00-000006000000}" name="Descriptions" dataDxfId="631"/>
    <tableColumn id="7" xr3:uid="{00000000-0010-0000-0D00-000007000000}" name="Summary" dataDxfId="630" dataCellStyle="Normal 4"/>
    <tableColumn id="8" xr3:uid="{00000000-0010-0000-0D00-000008000000}" name="Spec Weight" dataDxfId="629" dataCellStyle="Normal 4">
      <calculatedColumnFormula>VLOOKUP($D3,SpecData,2,FALSE)</calculatedColumnFormula>
    </tableColumn>
    <tableColumn id="9" xr3:uid="{00000000-0010-0000-0D00-000009000000}" name="Avail Weight" dataDxfId="628" dataCellStyle="Normal 4">
      <calculatedColumnFormula>VLOOKUP($F3,AvailabilityData,2,FALSE)</calculatedColumnFormula>
    </tableColumn>
    <tableColumn id="10" xr3:uid="{00000000-0010-0000-0D00-00000A000000}" name="Score" dataDxfId="627" dataCellStyle="Normal 4">
      <calculatedColumnFormula>SUM(K4:K480)</calculatedColumnFormula>
    </tableColumn>
    <tableColumn id="11" xr3:uid="{00000000-0010-0000-0D00-00000B000000}" name="Review Comments" dataDxfId="626" dataCellStyle="Normal 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E000000}" name="Table15810111213" displayName="Table15810111213" ref="B2:L213" totalsRowShown="0" headerRowDxfId="625" dataDxfId="624" tableBorderDxfId="623" headerRowCellStyle="Normal 4">
  <autoFilter ref="B2:L213" xr:uid="{00000000-0009-0000-0100-00000C000000}"/>
  <tableColumns count="11">
    <tableColumn id="1" xr3:uid="{00000000-0010-0000-0E00-000001000000}" name="Spec_x000a_ID" dataDxfId="622" dataCellStyle="Normal 4"/>
    <tableColumn id="2" xr3:uid="{00000000-0010-0000-0E00-000002000000}" name="Spec Number" dataDxfId="621" dataCellStyle="Normal 4"/>
    <tableColumn id="3" xr3:uid="{00000000-0010-0000-0E00-000003000000}" name="Importance" dataDxfId="620" dataCellStyle="Normal 4"/>
    <tableColumn id="4" xr3:uid="{00000000-0010-0000-0E00-000004000000}" name="Description of Capability_x000a__x000a_CAD Interface ePCR" dataDxfId="619" dataCellStyle="Normal 3"/>
    <tableColumn id="5" xr3:uid="{00000000-0010-0000-0E00-000005000000}" name="Availability" dataDxfId="618" dataCellStyle="Normal 3"/>
    <tableColumn id="6" xr3:uid="{00000000-0010-0000-0E00-000006000000}" name="Descriptions" dataDxfId="617"/>
    <tableColumn id="7" xr3:uid="{00000000-0010-0000-0E00-000007000000}" name="Summary" dataDxfId="616" dataCellStyle="Normal 4"/>
    <tableColumn id="8" xr3:uid="{00000000-0010-0000-0E00-000008000000}" name="Spec Weight" dataDxfId="615" dataCellStyle="Normal 4">
      <calculatedColumnFormula>VLOOKUP($D3,SpecData,2,FALSE)</calculatedColumnFormula>
    </tableColumn>
    <tableColumn id="9" xr3:uid="{00000000-0010-0000-0E00-000009000000}" name="Avail Weight" dataDxfId="614" dataCellStyle="Normal 4">
      <calculatedColumnFormula>VLOOKUP($F3,AvailabilityData,2,FALSE)</calculatedColumnFormula>
    </tableColumn>
    <tableColumn id="10" xr3:uid="{00000000-0010-0000-0E00-00000A000000}" name="Score" dataDxfId="613" dataCellStyle="Normal 4">
      <calculatedColumnFormula>SUM(K4:K665)</calculatedColumnFormula>
    </tableColumn>
    <tableColumn id="11" xr3:uid="{00000000-0010-0000-0E00-00000B000000}" name="Review Comments" dataDxfId="612" dataCellStyle="Normal 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158101112131415" displayName="Table158101112131415" ref="B2:L78" totalsRowShown="0" headerRowDxfId="611" dataDxfId="609" headerRowBorderDxfId="610" tableBorderDxfId="608" headerRowCellStyle="Normal 4">
  <autoFilter ref="B2:L78" xr:uid="{00000000-0009-0000-0100-00000E000000}"/>
  <tableColumns count="11">
    <tableColumn id="1" xr3:uid="{00000000-0010-0000-0F00-000001000000}" name="Spec_x000a_ID" dataDxfId="607" dataCellStyle="Normal 4"/>
    <tableColumn id="2" xr3:uid="{00000000-0010-0000-0F00-000002000000}" name="Spec Number" dataDxfId="606" dataCellStyle="Normal 4"/>
    <tableColumn id="3" xr3:uid="{00000000-0010-0000-0F00-000003000000}" name="Importance" dataDxfId="605" dataCellStyle="Normal 4"/>
    <tableColumn id="4" xr3:uid="{00000000-0010-0000-0F00-000004000000}" name="Description of Capability_x000a__x000a_CAD Interface External Databases" dataDxfId="604" dataCellStyle="Normal 3"/>
    <tableColumn id="5" xr3:uid="{00000000-0010-0000-0F00-000005000000}" name="Availability" dataDxfId="603" dataCellStyle="Normal 3"/>
    <tableColumn id="6" xr3:uid="{00000000-0010-0000-0F00-000006000000}" name="Descriptions" dataDxfId="602"/>
    <tableColumn id="7" xr3:uid="{00000000-0010-0000-0F00-000007000000}" name="Summary" dataDxfId="601" dataCellStyle="Normal 4"/>
    <tableColumn id="8" xr3:uid="{00000000-0010-0000-0F00-000008000000}" name="Spec Weight" dataDxfId="600" dataCellStyle="Normal 4">
      <calculatedColumnFormula>VLOOKUP($D3,SpecData,2,FALSE)</calculatedColumnFormula>
    </tableColumn>
    <tableColumn id="9" xr3:uid="{00000000-0010-0000-0F00-000009000000}" name="Avail Weight" dataDxfId="599" dataCellStyle="Normal 4">
      <calculatedColumnFormula>VLOOKUP($F3,AvailabilityData,2,FALSE)</calculatedColumnFormula>
    </tableColumn>
    <tableColumn id="10" xr3:uid="{00000000-0010-0000-0F00-00000A000000}" name="Score" dataDxfId="598" dataCellStyle="Normal 4">
      <calculatedColumnFormula>SUM(K4:K462)</calculatedColumnFormula>
    </tableColumn>
    <tableColumn id="11" xr3:uid="{00000000-0010-0000-0F00-00000B000000}" name="Review Comments" dataDxfId="597" dataCellStyle="Normal 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0000000}" name="Table1581011121314" displayName="Table1581011121314" ref="B2:L19" totalsRowShown="0" headerRowDxfId="596" dataDxfId="595" tableBorderDxfId="594" headerRowCellStyle="Normal 4">
  <autoFilter ref="B2:L19" xr:uid="{00000000-0009-0000-0100-00000D000000}"/>
  <tableColumns count="11">
    <tableColumn id="1" xr3:uid="{00000000-0010-0000-1000-000001000000}" name="Spec_x000a_ID" dataDxfId="593" dataCellStyle="Normal 4"/>
    <tableColumn id="2" xr3:uid="{00000000-0010-0000-1000-000002000000}" name="Spec Number" dataDxfId="592" dataCellStyle="Normal 4"/>
    <tableColumn id="3" xr3:uid="{00000000-0010-0000-1000-000003000000}" name="Importance" dataDxfId="591" dataCellStyle="Normal 4"/>
    <tableColumn id="4" xr3:uid="{00000000-0010-0000-1000-000004000000}" name="Description of Capability_x000a__x000a_CAD Interface FAX" dataDxfId="590" dataCellStyle="Normal 3"/>
    <tableColumn id="5" xr3:uid="{00000000-0010-0000-1000-000005000000}" name="Availability" dataDxfId="589" dataCellStyle="Normal 3"/>
    <tableColumn id="6" xr3:uid="{00000000-0010-0000-1000-000006000000}" name="Descriptions" dataDxfId="588"/>
    <tableColumn id="7" xr3:uid="{00000000-0010-0000-1000-000007000000}" name="Summary" dataDxfId="587" dataCellStyle="Normal 4"/>
    <tableColumn id="8" xr3:uid="{00000000-0010-0000-1000-000008000000}" name="Spec Weight" dataDxfId="586" dataCellStyle="Normal 4">
      <calculatedColumnFormula>VLOOKUP($D3,SpecData,2,FALSE)</calculatedColumnFormula>
    </tableColumn>
    <tableColumn id="9" xr3:uid="{00000000-0010-0000-1000-000009000000}" name="Avail Weight" dataDxfId="585" dataCellStyle="Normal 4">
      <calculatedColumnFormula>VLOOKUP($F3,AvailabilityData,2,FALSE)</calculatedColumnFormula>
    </tableColumn>
    <tableColumn id="10" xr3:uid="{00000000-0010-0000-1000-00000A000000}" name="Score" dataDxfId="584" dataCellStyle="Normal 4">
      <calculatedColumnFormula>SUM(K4:K478)</calculatedColumnFormula>
    </tableColumn>
    <tableColumn id="11" xr3:uid="{00000000-0010-0000-1000-00000B000000}" name="Review Comments" dataDxfId="583" dataCellStyle="Normal 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1000000}" name="Table1222329" displayName="Table1222329" ref="B2:L25" totalsRowShown="0" headerRowDxfId="582" dataDxfId="581" tableBorderDxfId="580" headerRowCellStyle="Normal 4">
  <autoFilter ref="B2:L25" xr:uid="{00000000-0009-0000-0100-00001C000000}"/>
  <tableColumns count="11">
    <tableColumn id="1" xr3:uid="{00000000-0010-0000-1100-000001000000}" name="Spec_x000a_ID" dataDxfId="579" dataCellStyle="Normal 4"/>
    <tableColumn id="2" xr3:uid="{00000000-0010-0000-1100-000002000000}" name="Spec Number" dataDxfId="578" dataCellStyle="Normal 4"/>
    <tableColumn id="3" xr3:uid="{00000000-0010-0000-1100-000003000000}" name="Importance" dataDxfId="577" dataCellStyle="Normal 4"/>
    <tableColumn id="4" xr3:uid="{00000000-0010-0000-1100-000004000000}" name="Description of Capability_x000a__x000a_CAD Interface FRMS Software" dataDxfId="576" dataCellStyle="Normal 3"/>
    <tableColumn id="5" xr3:uid="{00000000-0010-0000-1100-000005000000}" name="Availability" dataDxfId="575" dataCellStyle="Normal 3"/>
    <tableColumn id="6" xr3:uid="{00000000-0010-0000-1100-000006000000}" name="Descriptions" dataDxfId="574"/>
    <tableColumn id="7" xr3:uid="{00000000-0010-0000-1100-000007000000}" name="Summary" dataDxfId="573"/>
    <tableColumn id="8" xr3:uid="{00000000-0010-0000-1100-000008000000}" name="Spec Weight" dataDxfId="572">
      <calculatedColumnFormula>VLOOKUP($D3,SpecData,2,FALSE)</calculatedColumnFormula>
    </tableColumn>
    <tableColumn id="9" xr3:uid="{00000000-0010-0000-1100-000009000000}" name="Avail Weight" dataDxfId="571">
      <calculatedColumnFormula>VLOOKUP($F3,AvailabilityData,2,FALSE)</calculatedColumnFormula>
    </tableColumn>
    <tableColumn id="10" xr3:uid="{00000000-0010-0000-1100-00000A000000}" name="Score" dataDxfId="570">
      <calculatedColumnFormula>I3*J3</calculatedColumnFormula>
    </tableColumn>
    <tableColumn id="11" xr3:uid="{00000000-0010-0000-1100-00000B000000}" name="Review Comments" dataDxfId="569" dataCellStyle="Normal 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2000000}" name="Table158101112131416" displayName="Table158101112131416" ref="B2:L19" totalsRowShown="0" headerRowDxfId="568" dataDxfId="567" tableBorderDxfId="566" headerRowCellStyle="Normal 4">
  <autoFilter ref="B2:L19" xr:uid="{00000000-0009-0000-0100-00000F000000}"/>
  <tableColumns count="11">
    <tableColumn id="1" xr3:uid="{00000000-0010-0000-1200-000001000000}" name="Spec_x000a_ID" dataDxfId="565" dataCellStyle="Normal 4"/>
    <tableColumn id="2" xr3:uid="{00000000-0010-0000-1200-000002000000}" name="Spec Number" dataDxfId="564" dataCellStyle="Normal 4"/>
    <tableColumn id="3" xr3:uid="{00000000-0010-0000-1200-000003000000}" name="Importance" dataDxfId="563" dataCellStyle="Normal 4"/>
    <tableColumn id="4" xr3:uid="{00000000-0010-0000-1200-000004000000}" name="Description of Capability_x000a__x000a_CAD Interface Forms/Report Writing Tool" dataDxfId="562" dataCellStyle="Normal 3"/>
    <tableColumn id="5" xr3:uid="{00000000-0010-0000-1200-000005000000}" name="Availability" dataDxfId="561" dataCellStyle="Normal 3"/>
    <tableColumn id="6" xr3:uid="{00000000-0010-0000-1200-000006000000}" name="Descriptions" dataDxfId="560"/>
    <tableColumn id="7" xr3:uid="{00000000-0010-0000-1200-000007000000}" name="Summary" dataDxfId="559" dataCellStyle="Normal 4"/>
    <tableColumn id="8" xr3:uid="{00000000-0010-0000-1200-000008000000}" name="Spec Weight" dataDxfId="558" dataCellStyle="Normal 4">
      <calculatedColumnFormula>VLOOKUP($D3,SpecData,2,FALSE)</calculatedColumnFormula>
    </tableColumn>
    <tableColumn id="9" xr3:uid="{00000000-0010-0000-1200-000009000000}" name="Avail Weight" dataDxfId="557" dataCellStyle="Normal 4">
      <calculatedColumnFormula>VLOOKUP($F3,AvailabilityData,2,FALSE)</calculatedColumnFormula>
    </tableColumn>
    <tableColumn id="10" xr3:uid="{00000000-0010-0000-1200-00000A000000}" name="Score" dataDxfId="556" dataCellStyle="Normal 4">
      <calculatedColumnFormula>SUM(K4:K478)</calculatedColumnFormula>
    </tableColumn>
    <tableColumn id="11" xr3:uid="{00000000-0010-0000-1200-00000B000000}" name="Review Comments" dataDxfId="555" dataCellStyle="Normal 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L42" totalsRowShown="0" headerRowDxfId="807" dataDxfId="806" tableBorderDxfId="805" headerRowCellStyle="Normal 4">
  <autoFilter ref="B2:L42" xr:uid="{00000000-0009-0000-0100-000001000000}"/>
  <tableColumns count="11">
    <tableColumn id="1" xr3:uid="{00000000-0010-0000-0100-000001000000}" name="Spec_x000a_ID" dataDxfId="804" dataCellStyle="Normal 4"/>
    <tableColumn id="2" xr3:uid="{00000000-0010-0000-0100-000002000000}" name="Spec Number" dataDxfId="803" dataCellStyle="Normal 4"/>
    <tableColumn id="3" xr3:uid="{00000000-0010-0000-0100-000003000000}" name="Importance" dataDxfId="802" dataCellStyle="Normal 4"/>
    <tableColumn id="4" xr3:uid="{00000000-0010-0000-0100-000004000000}" name="Description of Capability_x000a__x000a_CAD Interface General Requirements" dataDxfId="801" dataCellStyle="Normal 3"/>
    <tableColumn id="5" xr3:uid="{00000000-0010-0000-0100-000005000000}" name="Availability" dataDxfId="800" dataCellStyle="Normal 3"/>
    <tableColumn id="6" xr3:uid="{00000000-0010-0000-0100-000006000000}" name="Descriptions" dataDxfId="799"/>
    <tableColumn id="7" xr3:uid="{00000000-0010-0000-0100-000007000000}" name="Summary" dataDxfId="798"/>
    <tableColumn id="8" xr3:uid="{00000000-0010-0000-0100-000008000000}" name="Spec Weight" dataDxfId="797">
      <calculatedColumnFormula>VLOOKUP($D3,SpecData,2,FALSE)</calculatedColumnFormula>
    </tableColumn>
    <tableColumn id="9" xr3:uid="{00000000-0010-0000-0100-000009000000}" name="Avail Weight" dataDxfId="796">
      <calculatedColumnFormula>VLOOKUP($F3,AvailabilityData,2,FALSE)</calculatedColumnFormula>
    </tableColumn>
    <tableColumn id="10" xr3:uid="{00000000-0010-0000-0100-00000A000000}" name="Score" dataDxfId="795">
      <calculatedColumnFormula>I3*J3</calculatedColumnFormula>
    </tableColumn>
    <tableColumn id="11" xr3:uid="{00000000-0010-0000-0100-00000B000000}" name="Review Comments" dataDxfId="794"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158101112131418" displayName="Table158101112131418" ref="B2:L37" totalsRowShown="0" headerRowDxfId="554" dataDxfId="553" tableBorderDxfId="552" headerRowCellStyle="Normal 4">
  <autoFilter ref="B2:L37" xr:uid="{00000000-0009-0000-0100-000011000000}"/>
  <tableColumns count="11">
    <tableColumn id="1" xr3:uid="{00000000-0010-0000-1300-000001000000}" name="Spec_x000a_ID" dataDxfId="551" dataCellStyle="Normal 4"/>
    <tableColumn id="2" xr3:uid="{00000000-0010-0000-1300-000002000000}" name="Spec Number" dataDxfId="550" dataCellStyle="Normal 4"/>
    <tableColumn id="3" xr3:uid="{00000000-0010-0000-1300-000003000000}" name="Importance" dataDxfId="549" dataCellStyle="Normal 4"/>
    <tableColumn id="4" xr3:uid="{00000000-0010-0000-1300-000004000000}" name="Description of Capability_x000a__x000a_CAD Interface Hazardous Materials" dataDxfId="548" dataCellStyle="Normal 3"/>
    <tableColumn id="5" xr3:uid="{00000000-0010-0000-1300-000005000000}" name="Availability" dataDxfId="547" dataCellStyle="Normal 3"/>
    <tableColumn id="6" xr3:uid="{00000000-0010-0000-1300-000006000000}" name="Descriptions" dataDxfId="546"/>
    <tableColumn id="7" xr3:uid="{00000000-0010-0000-1300-000007000000}" name="Summary" dataDxfId="545" dataCellStyle="Normal 4"/>
    <tableColumn id="8" xr3:uid="{00000000-0010-0000-1300-000008000000}" name="Spec Weight" dataDxfId="544" dataCellStyle="Normal 4">
      <calculatedColumnFormula>VLOOKUP($D3,SpecData,2,FALSE)</calculatedColumnFormula>
    </tableColumn>
    <tableColumn id="9" xr3:uid="{00000000-0010-0000-1300-000009000000}" name="Avail Weight" dataDxfId="543" dataCellStyle="Normal 4">
      <calculatedColumnFormula>VLOOKUP($F3,AvailabilityData,2,FALSE)</calculatedColumnFormula>
    </tableColumn>
    <tableColumn id="10" xr3:uid="{00000000-0010-0000-1300-00000A000000}" name="Score" dataDxfId="542" dataCellStyle="Normal 4">
      <calculatedColumnFormula>SUM(K4:K496)</calculatedColumnFormula>
    </tableColumn>
    <tableColumn id="11" xr3:uid="{00000000-0010-0000-1300-00000B000000}" name="Review Comments" dataDxfId="541" dataCellStyle="Normal 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158101112131417" displayName="Table158101112131417" ref="B2:L19" totalsRowShown="0" headerRowDxfId="540" dataDxfId="539" tableBorderDxfId="538" headerRowCellStyle="Normal 4">
  <autoFilter ref="B2:L19" xr:uid="{00000000-0009-0000-0100-000010000000}"/>
  <tableColumns count="11">
    <tableColumn id="1" xr3:uid="{00000000-0010-0000-1400-000001000000}" name="Spec_x000a_ID" dataDxfId="537" dataCellStyle="Normal 4"/>
    <tableColumn id="2" xr3:uid="{00000000-0010-0000-1400-000002000000}" name="Spec Number" dataDxfId="536" dataCellStyle="Normal 4"/>
    <tableColumn id="3" xr3:uid="{00000000-0010-0000-1400-000003000000}" name="Importance" dataDxfId="535" dataCellStyle="Normal 4"/>
    <tableColumn id="4" xr3:uid="{00000000-0010-0000-1400-000004000000}" name="Description of Capability_x000a__x000a_CAD Interface Logging Recorder" dataDxfId="534" dataCellStyle="Normal 3"/>
    <tableColumn id="5" xr3:uid="{00000000-0010-0000-1400-000005000000}" name="Availability" dataDxfId="533" dataCellStyle="Normal 3"/>
    <tableColumn id="6" xr3:uid="{00000000-0010-0000-1400-000006000000}" name="Descriptions" dataDxfId="532"/>
    <tableColumn id="7" xr3:uid="{00000000-0010-0000-1400-000007000000}" name="Summary" dataDxfId="531" dataCellStyle="Normal 4"/>
    <tableColumn id="8" xr3:uid="{00000000-0010-0000-1400-000008000000}" name="Spec Weight" dataDxfId="530" dataCellStyle="Normal 4">
      <calculatedColumnFormula>VLOOKUP($D3,SpecData,2,FALSE)</calculatedColumnFormula>
    </tableColumn>
    <tableColumn id="9" xr3:uid="{00000000-0010-0000-1400-000009000000}" name="Avail Weight" dataDxfId="529" dataCellStyle="Normal 4">
      <calculatedColumnFormula>VLOOKUP($F3,AvailabilityData,2,FALSE)</calculatedColumnFormula>
    </tableColumn>
    <tableColumn id="10" xr3:uid="{00000000-0010-0000-1400-00000A000000}" name="Score" dataDxfId="528" dataCellStyle="Normal 4">
      <calculatedColumnFormula>SUM(K4:K478)</calculatedColumnFormula>
    </tableColumn>
    <tableColumn id="11" xr3:uid="{00000000-0010-0000-1400-00000B000000}" name="Review Comments" dataDxfId="527" dataCellStyle="Normal 4"/>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e12223242526" displayName="Table12223242526" ref="B2:L21" totalsRowShown="0" headerRowDxfId="526" dataDxfId="525" tableBorderDxfId="524" headerRowCellStyle="Normal 4">
  <autoFilter ref="B2:L21" xr:uid="{00000000-0009-0000-0100-000019000000}"/>
  <tableColumns count="11">
    <tableColumn id="1" xr3:uid="{00000000-0010-0000-1500-000001000000}" name="Spec_x000a_ID" dataDxfId="523" dataCellStyle="Normal 4"/>
    <tableColumn id="2" xr3:uid="{00000000-0010-0000-1500-000002000000}" name="Spec Number" dataDxfId="522" dataCellStyle="Normal 4"/>
    <tableColumn id="3" xr3:uid="{00000000-0010-0000-1500-000003000000}" name="Importance" dataDxfId="521" dataCellStyle="Normal 4"/>
    <tableColumn id="4" xr3:uid="{00000000-0010-0000-1500-000004000000}" name="Description of Capability_x000a__x000a_CAD Interface NextGen 911" dataDxfId="520" dataCellStyle="Normal 3"/>
    <tableColumn id="5" xr3:uid="{00000000-0010-0000-1500-000005000000}" name="Availability" dataDxfId="519" dataCellStyle="Normal 3"/>
    <tableColumn id="6" xr3:uid="{00000000-0010-0000-1500-000006000000}" name="Descriptions" dataDxfId="518"/>
    <tableColumn id="7" xr3:uid="{00000000-0010-0000-1500-000007000000}" name="Summary" dataDxfId="517"/>
    <tableColumn id="8" xr3:uid="{00000000-0010-0000-1500-000008000000}" name="Spec Weight" dataDxfId="516">
      <calculatedColumnFormula>VLOOKUP($D3,SpecData,2,FALSE)</calculatedColumnFormula>
    </tableColumn>
    <tableColumn id="9" xr3:uid="{00000000-0010-0000-1500-000009000000}" name="Avail Weight" dataDxfId="515">
      <calculatedColumnFormula>VLOOKUP($F3,AvailabilityData,2,FALSE)</calculatedColumnFormula>
    </tableColumn>
    <tableColumn id="10" xr3:uid="{00000000-0010-0000-1500-00000A000000}" name="Score" dataDxfId="514">
      <calculatedColumnFormula>SUM(K4:K501)</calculatedColumnFormula>
    </tableColumn>
    <tableColumn id="11" xr3:uid="{00000000-0010-0000-1500-00000B000000}" name="Review Comments" dataDxfId="513" dataCellStyle="Normal 4"/>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6000000}" name="Table15810111213141719" displayName="Table15810111213141719" ref="B2:L19" totalsRowShown="0" headerRowDxfId="512" dataDxfId="511" tableBorderDxfId="510" headerRowCellStyle="Normal 4">
  <autoFilter ref="B2:L19" xr:uid="{00000000-0009-0000-0100-000012000000}"/>
  <tableColumns count="11">
    <tableColumn id="1" xr3:uid="{00000000-0010-0000-1600-000001000000}" name="Spec_x000a_ID" dataDxfId="509" dataCellStyle="Normal 4"/>
    <tableColumn id="2" xr3:uid="{00000000-0010-0000-1600-000002000000}" name="Spec Number" dataDxfId="508" dataCellStyle="Normal 4"/>
    <tableColumn id="3" xr3:uid="{00000000-0010-0000-1600-000003000000}" name="Importance" dataDxfId="507" dataCellStyle="Normal 4"/>
    <tableColumn id="4" xr3:uid="{00000000-0010-0000-1600-000004000000}" name="Description of Capability_x000a__x000a_CAD Interface PSAP Master Clock" dataDxfId="506" dataCellStyle="Normal 3"/>
    <tableColumn id="5" xr3:uid="{00000000-0010-0000-1600-000005000000}" name="Availability" dataDxfId="505" dataCellStyle="Normal 3"/>
    <tableColumn id="6" xr3:uid="{00000000-0010-0000-1600-000006000000}" name="Descriptions" dataDxfId="504"/>
    <tableColumn id="7" xr3:uid="{00000000-0010-0000-1600-000007000000}" name="Summary" dataDxfId="503" dataCellStyle="Normal 4"/>
    <tableColumn id="8" xr3:uid="{00000000-0010-0000-1600-000008000000}" name="Spec Weight" dataDxfId="502" dataCellStyle="Normal 4">
      <calculatedColumnFormula>VLOOKUP($D3,SpecData,2,FALSE)</calculatedColumnFormula>
    </tableColumn>
    <tableColumn id="9" xr3:uid="{00000000-0010-0000-1600-000009000000}" name="Avail Weight" dataDxfId="501" dataCellStyle="Normal 4">
      <calculatedColumnFormula>VLOOKUP($F3,AvailabilityData,2,FALSE)</calculatedColumnFormula>
    </tableColumn>
    <tableColumn id="10" xr3:uid="{00000000-0010-0000-1600-00000A000000}" name="Score" dataDxfId="500" dataCellStyle="Normal 4">
      <calculatedColumnFormula>SUM(K4:K478)</calculatedColumnFormula>
    </tableColumn>
    <tableColumn id="11" xr3:uid="{00000000-0010-0000-1600-00000B000000}" name="Review Comments" dataDxfId="499"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7000000}" name="Table15810111213141720" displayName="Table15810111213141720" ref="B2:L19" totalsRowShown="0" headerRowDxfId="498" dataDxfId="497" tableBorderDxfId="496" headerRowCellStyle="Normal 4">
  <autoFilter ref="B2:L19" xr:uid="{00000000-0009-0000-0100-000013000000}"/>
  <tableColumns count="11">
    <tableColumn id="1" xr3:uid="{00000000-0010-0000-1700-000001000000}" name="Spec_x000a_ID" dataDxfId="495" dataCellStyle="Normal 4"/>
    <tableColumn id="2" xr3:uid="{00000000-0010-0000-1700-000002000000}" name="Spec Number" dataDxfId="494" dataCellStyle="Normal 4"/>
    <tableColumn id="3" xr3:uid="{00000000-0010-0000-1700-000003000000}" name="Importance" dataDxfId="493" dataCellStyle="Normal 4"/>
    <tableColumn id="4" xr3:uid="{00000000-0010-0000-1700-000004000000}" name="Description of Capability_x000a__x000a_CAD Interface Pictometry" dataDxfId="492" dataCellStyle="Normal 3"/>
    <tableColumn id="5" xr3:uid="{00000000-0010-0000-1700-000005000000}" name="Availability" dataDxfId="491" dataCellStyle="Normal 3"/>
    <tableColumn id="6" xr3:uid="{00000000-0010-0000-1700-000006000000}" name="Descriptions" dataDxfId="490"/>
    <tableColumn id="7" xr3:uid="{00000000-0010-0000-1700-000007000000}" name="Summary" dataDxfId="489" dataCellStyle="Normal 4"/>
    <tableColumn id="8" xr3:uid="{00000000-0010-0000-1700-000008000000}" name="Spec Weight" dataDxfId="488" dataCellStyle="Normal 4">
      <calculatedColumnFormula>VLOOKUP($D3,SpecData,2,FALSE)</calculatedColumnFormula>
    </tableColumn>
    <tableColumn id="9" xr3:uid="{00000000-0010-0000-1700-000009000000}" name="Avail Weight" dataDxfId="487" dataCellStyle="Normal 4">
      <calculatedColumnFormula>VLOOKUP($F3,AvailabilityData,2,FALSE)</calculatedColumnFormula>
    </tableColumn>
    <tableColumn id="10" xr3:uid="{00000000-0010-0000-1700-00000A000000}" name="Score" dataDxfId="486" dataCellStyle="Normal 4">
      <calculatedColumnFormula>SUM(K4:K478)</calculatedColumnFormula>
    </tableColumn>
    <tableColumn id="11" xr3:uid="{00000000-0010-0000-1700-00000B000000}" name="Review Comments" dataDxfId="485" dataCellStyle="Normal 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15810111213141728" displayName="Table15810111213141728" ref="B2:L57" totalsRowShown="0" headerRowDxfId="484" dataDxfId="483" tableBorderDxfId="482" headerRowCellStyle="Normal 4">
  <autoFilter ref="B2:L57" xr:uid="{00000000-0009-0000-0100-00001B000000}"/>
  <tableColumns count="11">
    <tableColumn id="1" xr3:uid="{00000000-0010-0000-1800-000001000000}" name="Spec_x000a_ID" dataDxfId="481" dataCellStyle="Normal 4"/>
    <tableColumn id="2" xr3:uid="{00000000-0010-0000-1800-000002000000}" name="Spec Number" dataDxfId="480" dataCellStyle="Normal 4"/>
    <tableColumn id="3" xr3:uid="{00000000-0010-0000-1800-000003000000}" name="Importance" dataDxfId="479" dataCellStyle="Normal 4"/>
    <tableColumn id="4" xr3:uid="{00000000-0010-0000-1800-000004000000}" name="Description of Capability_x000a__x000a_CAD Interface Radio System" dataDxfId="478" dataCellStyle="Normal 3"/>
    <tableColumn id="5" xr3:uid="{00000000-0010-0000-1800-000005000000}" name="Availability" dataDxfId="477" dataCellStyle="Normal 3"/>
    <tableColumn id="6" xr3:uid="{00000000-0010-0000-1800-000006000000}" name="Descriptions" dataDxfId="476"/>
    <tableColumn id="7" xr3:uid="{00000000-0010-0000-1800-000007000000}" name="Summary" dataDxfId="475" dataCellStyle="Normal 4"/>
    <tableColumn id="8" xr3:uid="{00000000-0010-0000-1800-000008000000}" name="Spec Weight" dataDxfId="474" dataCellStyle="Normal 4">
      <calculatedColumnFormula>VLOOKUP($D3,SpecData,2,FALSE)</calculatedColumnFormula>
    </tableColumn>
    <tableColumn id="9" xr3:uid="{00000000-0010-0000-1800-000009000000}" name="Avail Weight" dataDxfId="473" dataCellStyle="Normal 4">
      <calculatedColumnFormula>VLOOKUP($F3,AvailabilityData,2,FALSE)</calculatedColumnFormula>
    </tableColumn>
    <tableColumn id="10" xr3:uid="{00000000-0010-0000-1800-00000A000000}" name="Score" dataDxfId="472" dataCellStyle="Normal 4">
      <calculatedColumnFormula>SUM(K4:K498)</calculatedColumnFormula>
    </tableColumn>
    <tableColumn id="11" xr3:uid="{00000000-0010-0000-1800-00000B000000}" name="Review Comments" dataDxfId="471" dataCellStyle="Normal 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122232427" displayName="Table122232427" ref="B2:L23" totalsRowShown="0" headerRowDxfId="470" dataDxfId="469" tableBorderDxfId="468" headerRowCellStyle="Normal 4">
  <autoFilter ref="B2:L23" xr:uid="{00000000-0009-0000-0100-00001A000000}"/>
  <tableColumns count="11">
    <tableColumn id="1" xr3:uid="{00000000-0010-0000-1900-000001000000}" name="Spec_x000a_ID" dataDxfId="467" dataCellStyle="Normal 4"/>
    <tableColumn id="2" xr3:uid="{00000000-0010-0000-1900-000002000000}" name="Spec Number" dataDxfId="466" dataCellStyle="Normal 4"/>
    <tableColumn id="3" xr3:uid="{00000000-0010-0000-1900-000003000000}" name="Importance" dataDxfId="465" dataCellStyle="Normal 4"/>
    <tableColumn id="4" xr3:uid="{00000000-0010-0000-1900-000004000000}" name="Description of Capability_x000a__x000a_CAD Interface LE Records Management System" dataDxfId="464" dataCellStyle="Normal 3"/>
    <tableColumn id="5" xr3:uid="{00000000-0010-0000-1900-000005000000}" name="Availability" dataDxfId="463" dataCellStyle="Normal 3"/>
    <tableColumn id="6" xr3:uid="{00000000-0010-0000-1900-000006000000}" name="Descriptions" dataDxfId="462"/>
    <tableColumn id="7" xr3:uid="{00000000-0010-0000-1900-000007000000}" name="Summary" dataDxfId="461"/>
    <tableColumn id="8" xr3:uid="{00000000-0010-0000-1900-000008000000}" name="Spec Weight" dataDxfId="460">
      <calculatedColumnFormula>VLOOKUP($D3,SpecData,2,FALSE)</calculatedColumnFormula>
    </tableColumn>
    <tableColumn id="9" xr3:uid="{00000000-0010-0000-1900-000009000000}" name="Avail Weight" dataDxfId="459">
      <calculatedColumnFormula>VLOOKUP($F3,AvailabilityData,2,FALSE)</calculatedColumnFormula>
    </tableColumn>
    <tableColumn id="10" xr3:uid="{00000000-0010-0000-1900-00000A000000}" name="Score" dataDxfId="458">
      <calculatedColumnFormula>I3*J3</calculatedColumnFormula>
    </tableColumn>
    <tableColumn id="11" xr3:uid="{00000000-0010-0000-1900-00000B000000}" name="Review Comments" dataDxfId="457" dataCellStyle="Normal 4"/>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Table1581011121314172832" displayName="Table1581011121314172832" ref="B2:L45" totalsRowShown="0" headerRowDxfId="456" dataDxfId="455" tableBorderDxfId="454" headerRowCellStyle="Normal 4">
  <autoFilter ref="B2:L45" xr:uid="{00000000-0009-0000-0100-00001F000000}"/>
  <tableColumns count="11">
    <tableColumn id="1" xr3:uid="{00000000-0010-0000-1A00-000001000000}" name="Spec_x000a_ID" dataDxfId="453" dataCellStyle="Normal 4"/>
    <tableColumn id="2" xr3:uid="{00000000-0010-0000-1A00-000002000000}" name="Spec Number" dataDxfId="452" dataCellStyle="Normal 4"/>
    <tableColumn id="3" xr3:uid="{00000000-0010-0000-1A00-000003000000}" name="Importance" dataDxfId="451" dataCellStyle="Normal 4"/>
    <tableColumn id="4" xr3:uid="{00000000-0010-0000-1A00-000004000000}" name="Description of Capability_x000a__x000a_CAD Interface Resource Deployment " dataDxfId="450" dataCellStyle="Normal 3"/>
    <tableColumn id="5" xr3:uid="{00000000-0010-0000-1A00-000005000000}" name="Availability" dataDxfId="449" dataCellStyle="Normal 3"/>
    <tableColumn id="6" xr3:uid="{00000000-0010-0000-1A00-000006000000}" name="Descriptions" dataDxfId="448"/>
    <tableColumn id="7" xr3:uid="{00000000-0010-0000-1A00-000007000000}" name="Summary" dataDxfId="447" dataCellStyle="Normal 4"/>
    <tableColumn id="8" xr3:uid="{00000000-0010-0000-1A00-000008000000}" name="Spec Weight" dataDxfId="446" dataCellStyle="Normal 4">
      <calculatedColumnFormula>VLOOKUP($D3,SpecData,2,FALSE)</calculatedColumnFormula>
    </tableColumn>
    <tableColumn id="9" xr3:uid="{00000000-0010-0000-1A00-000009000000}" name="Avail Weight" dataDxfId="445" dataCellStyle="Normal 4">
      <calculatedColumnFormula>VLOOKUP($F3,AvailabilityData,2,FALSE)</calculatedColumnFormula>
    </tableColumn>
    <tableColumn id="10" xr3:uid="{00000000-0010-0000-1A00-00000A000000}" name="Score" dataDxfId="444" dataCellStyle="Normal 4">
      <calculatedColumnFormula>SUM(K5:K504)</calculatedColumnFormula>
    </tableColumn>
    <tableColumn id="11" xr3:uid="{00000000-0010-0000-1A00-00000B000000}" name="Review Comments" dataDxfId="443" dataCellStyle="Normal 4"/>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1581011121314172833" displayName="Table1581011121314172833" ref="B2:L32" totalsRowShown="0" headerRowDxfId="442" dataDxfId="441" tableBorderDxfId="440" headerRowCellStyle="Normal 4">
  <autoFilter ref="B2:L32" xr:uid="{00000000-0009-0000-0100-000020000000}"/>
  <tableColumns count="11">
    <tableColumn id="1" xr3:uid="{00000000-0010-0000-1B00-000001000000}" name="Spec_x000a_ID" dataDxfId="439" dataCellStyle="Normal 4"/>
    <tableColumn id="2" xr3:uid="{00000000-0010-0000-1B00-000002000000}" name="Spec Number" dataDxfId="438" dataCellStyle="Normal 4"/>
    <tableColumn id="3" xr3:uid="{00000000-0010-0000-1B00-000003000000}" name="Importance" dataDxfId="437" dataCellStyle="Normal 4"/>
    <tableColumn id="4" xr3:uid="{00000000-0010-0000-1B00-000004000000}" name="Description of Capability_x000a__x000a_CAD Interface Rip and Run" dataDxfId="436" dataCellStyle="Normal 3"/>
    <tableColumn id="5" xr3:uid="{00000000-0010-0000-1B00-000005000000}" name="Availability" dataDxfId="435" dataCellStyle="Normal 3"/>
    <tableColumn id="6" xr3:uid="{00000000-0010-0000-1B00-000006000000}" name="Descriptions" dataDxfId="434"/>
    <tableColumn id="7" xr3:uid="{00000000-0010-0000-1B00-000007000000}" name="Summary" dataDxfId="433" dataCellStyle="Normal 4"/>
    <tableColumn id="8" xr3:uid="{00000000-0010-0000-1B00-000008000000}" name="Spec Weight" dataDxfId="432" dataCellStyle="Normal 4">
      <calculatedColumnFormula>VLOOKUP($D3,SpecData,2,FALSE)</calculatedColumnFormula>
    </tableColumn>
    <tableColumn id="9" xr3:uid="{00000000-0010-0000-1B00-000009000000}" name="Avail Weight" dataDxfId="431" dataCellStyle="Normal 4">
      <calculatedColumnFormula>VLOOKUP($F3,AvailabilityData,2,FALSE)</calculatedColumnFormula>
    </tableColumn>
    <tableColumn id="10" xr3:uid="{00000000-0010-0000-1B00-00000A000000}" name="Score" dataDxfId="430" dataCellStyle="Normal 4">
      <calculatedColumnFormula>SUM(K4:K491)</calculatedColumnFormula>
    </tableColumn>
    <tableColumn id="11" xr3:uid="{00000000-0010-0000-1B00-00000B000000}" name="Review Comments" dataDxfId="429" dataCellStyle="Normal 4"/>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1581011121314172834" displayName="Table1581011121314172834" ref="B2:L19" totalsRowShown="0" headerRowDxfId="428" dataDxfId="427" tableBorderDxfId="426" headerRowCellStyle="Normal 4">
  <autoFilter ref="B2:L19" xr:uid="{00000000-0009-0000-0100-000021000000}"/>
  <tableColumns count="11">
    <tableColumn id="1" xr3:uid="{00000000-0010-0000-1C00-000001000000}" name="Spec_x000a_ID" dataDxfId="425" dataCellStyle="Normal 4"/>
    <tableColumn id="2" xr3:uid="{00000000-0010-0000-1C00-000002000000}" name="Spec Number" dataDxfId="424" dataCellStyle="Normal 4"/>
    <tableColumn id="3" xr3:uid="{00000000-0010-0000-1C00-000003000000}" name="Importance" dataDxfId="423" dataCellStyle="Normal 4"/>
    <tableColumn id="4" xr3:uid="{00000000-0010-0000-1C00-000004000000}" name="Description of Capability_x000a__x000a_CAD Interface Site Security System" dataDxfId="422" dataCellStyle="Normal 3"/>
    <tableColumn id="5" xr3:uid="{00000000-0010-0000-1C00-000005000000}" name="Availability" dataDxfId="421" dataCellStyle="Normal 3"/>
    <tableColumn id="6" xr3:uid="{00000000-0010-0000-1C00-000006000000}" name="Descriptions" dataDxfId="420"/>
    <tableColumn id="7" xr3:uid="{00000000-0010-0000-1C00-000007000000}" name="Summary" dataDxfId="419" dataCellStyle="Normal 4"/>
    <tableColumn id="8" xr3:uid="{00000000-0010-0000-1C00-000008000000}" name="Spec Weight" dataDxfId="418" dataCellStyle="Normal 4">
      <calculatedColumnFormula>VLOOKUP($D3,SpecData,2,FALSE)</calculatedColumnFormula>
    </tableColumn>
    <tableColumn id="9" xr3:uid="{00000000-0010-0000-1C00-000009000000}" name="Avail Weight" dataDxfId="417" dataCellStyle="Normal 4">
      <calculatedColumnFormula>VLOOKUP($F3,AvailabilityData,2,FALSE)</calculatedColumnFormula>
    </tableColumn>
    <tableColumn id="10" xr3:uid="{00000000-0010-0000-1C00-00000A000000}" name="Score" dataDxfId="416" dataCellStyle="Normal 4">
      <calculatedColumnFormula>SUM(K4:K478)</calculatedColumnFormula>
    </tableColumn>
    <tableColumn id="11" xr3:uid="{00000000-0010-0000-1C00-00000B000000}" name="Review Comments" dataDxfId="415"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L19" totalsRowShown="0" headerRowDxfId="793" dataDxfId="792" tableBorderDxfId="791" headerRowCellStyle="Normal 4">
  <autoFilter ref="B2:L19" xr:uid="{00000000-0009-0000-0100-000002000000}"/>
  <tableColumns count="11">
    <tableColumn id="1" xr3:uid="{00000000-0010-0000-0200-000001000000}" name="Spec_x000a_ID" dataDxfId="790" dataCellStyle="Normal 4"/>
    <tableColumn id="2" xr3:uid="{00000000-0010-0000-0200-000002000000}" name="Spec Number" dataDxfId="789" dataCellStyle="Normal 4"/>
    <tableColumn id="3" xr3:uid="{00000000-0010-0000-0200-000003000000}" name="Importance" dataDxfId="788" dataCellStyle="Normal 4"/>
    <tableColumn id="4" xr3:uid="{00000000-0010-0000-0200-000004000000}" name="Description of Capability_x000a__x000a_CAD Interface Alarm Monitoring" dataDxfId="787" dataCellStyle="Normal 3"/>
    <tableColumn id="5" xr3:uid="{00000000-0010-0000-0200-000005000000}" name="Availability" dataDxfId="786" dataCellStyle="Normal 3"/>
    <tableColumn id="6" xr3:uid="{00000000-0010-0000-0200-000006000000}" name="Descriptions" dataDxfId="785"/>
    <tableColumn id="7" xr3:uid="{00000000-0010-0000-0200-000007000000}" name="Summary" dataDxfId="784"/>
    <tableColumn id="8" xr3:uid="{00000000-0010-0000-0200-000008000000}" name="Spec Weight" dataDxfId="783">
      <calculatedColumnFormula>VLOOKUP($D3,SpecData,2,FALSE)</calculatedColumnFormula>
    </tableColumn>
    <tableColumn id="9" xr3:uid="{00000000-0010-0000-0200-000009000000}" name="Avail Weight" dataDxfId="782">
      <calculatedColumnFormula>VLOOKUP($F3,AvailabilityData,2,FALSE)</calculatedColumnFormula>
    </tableColumn>
    <tableColumn id="10" xr3:uid="{00000000-0010-0000-0200-00000A000000}" name="Score" dataDxfId="781">
      <calculatedColumnFormula>SUM(K4:K478)</calculatedColumnFormula>
    </tableColumn>
    <tableColumn id="11" xr3:uid="{00000000-0010-0000-0200-00000B000000}" name="Review Comments" dataDxfId="780" dataCellStyle="Normal 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1581011121314172835" displayName="Table1581011121314172835" ref="B2:L158" totalsRowShown="0" headerRowDxfId="414" dataDxfId="413" tableBorderDxfId="412" headerRowCellStyle="Normal 4">
  <autoFilter ref="B2:L158" xr:uid="{00000000-0009-0000-0100-000022000000}"/>
  <tableColumns count="11">
    <tableColumn id="1" xr3:uid="{00000000-0010-0000-1D00-000001000000}" name="Spec_x000a_ID" dataDxfId="411" dataCellStyle="Normal 4"/>
    <tableColumn id="2" xr3:uid="{00000000-0010-0000-1D00-000002000000}" name="Spec Number" dataDxfId="410" dataCellStyle="Normal 4"/>
    <tableColumn id="3" xr3:uid="{00000000-0010-0000-1D00-000003000000}" name="Importance" dataDxfId="409" dataCellStyle="Normal 4"/>
    <tableColumn id="4" xr3:uid="{00000000-0010-0000-1D00-000004000000}" name="Description of Capability_x000a__x000a_CAD Interface Staffing" dataDxfId="408" dataCellStyle="Normal 3"/>
    <tableColumn id="5" xr3:uid="{00000000-0010-0000-1D00-000005000000}" name="Availability" dataDxfId="407" dataCellStyle="Normal 3"/>
    <tableColumn id="6" xr3:uid="{00000000-0010-0000-1D00-000006000000}" name="Descriptions" dataDxfId="406"/>
    <tableColumn id="7" xr3:uid="{00000000-0010-0000-1D00-000007000000}" name="Summary" dataDxfId="405" dataCellStyle="Normal 4"/>
    <tableColumn id="8" xr3:uid="{00000000-0010-0000-1D00-000008000000}" name="Spec Weight" dataDxfId="404" dataCellStyle="Normal 4">
      <calculatedColumnFormula>VLOOKUP($D3,SpecData,2,FALSE)</calculatedColumnFormula>
    </tableColumn>
    <tableColumn id="9" xr3:uid="{00000000-0010-0000-1D00-000009000000}" name="Avail Weight" dataDxfId="403" dataCellStyle="Normal 4">
      <calculatedColumnFormula>VLOOKUP($F3,AvailabilityData,2,FALSE)</calculatedColumnFormula>
    </tableColumn>
    <tableColumn id="10" xr3:uid="{00000000-0010-0000-1D00-00000A000000}" name="Score" dataDxfId="402" dataCellStyle="Normal 4">
      <calculatedColumnFormula>SUM(K4:K617)</calculatedColumnFormula>
    </tableColumn>
    <tableColumn id="11" xr3:uid="{00000000-0010-0000-1D00-00000B000000}" name="Review Comments" dataDxfId="401" dataCellStyle="Normal 4"/>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222324" displayName="Table1222324" ref="B2:L52" totalsRowShown="0" headerRowDxfId="400" dataDxfId="399" tableBorderDxfId="398" headerRowCellStyle="Normal 4">
  <autoFilter ref="B2:L52" xr:uid="{00000000-0009-0000-0100-000017000000}"/>
  <tableColumns count="11">
    <tableColumn id="1" xr3:uid="{00000000-0010-0000-1E00-000001000000}" name="Spec_x000a_ID" dataDxfId="397" dataCellStyle="Normal 4"/>
    <tableColumn id="2" xr3:uid="{00000000-0010-0000-1E00-000002000000}" name="Spec Number" dataDxfId="396" dataCellStyle="Normal 4"/>
    <tableColumn id="3" xr3:uid="{00000000-0010-0000-1E00-000003000000}" name="Importance" dataDxfId="395" dataCellStyle="Normal 4"/>
    <tableColumn id="4" xr3:uid="{00000000-0010-0000-1E00-000004000000}" name="Description of Capability_x000a__x000a_CAD Interface LE State / NCIC Interface" dataDxfId="394" dataCellStyle="Normal 3"/>
    <tableColumn id="5" xr3:uid="{00000000-0010-0000-1E00-000005000000}" name="Availability" dataDxfId="393" dataCellStyle="Normal 3"/>
    <tableColumn id="6" xr3:uid="{00000000-0010-0000-1E00-000006000000}" name="Descriptions" dataDxfId="392"/>
    <tableColumn id="7" xr3:uid="{00000000-0010-0000-1E00-000007000000}" name="Summary" dataDxfId="391"/>
    <tableColumn id="8" xr3:uid="{00000000-0010-0000-1E00-000008000000}" name="Spec Weight" dataDxfId="390">
      <calculatedColumnFormula>VLOOKUP($D3,SpecData,2,FALSE)</calculatedColumnFormula>
    </tableColumn>
    <tableColumn id="9" xr3:uid="{00000000-0010-0000-1E00-000009000000}" name="Avail Weight" dataDxfId="389">
      <calculatedColumnFormula>VLOOKUP($F3,AvailabilityData,2,FALSE)</calculatedColumnFormula>
    </tableColumn>
    <tableColumn id="10" xr3:uid="{00000000-0010-0000-1E00-00000A000000}" name="Score" dataDxfId="388">
      <calculatedColumnFormula>I3*J3</calculatedColumnFormula>
    </tableColumn>
    <tableColumn id="11" xr3:uid="{00000000-0010-0000-1E00-00000B000000}" name="Review Comments" dataDxfId="387" dataCellStyle="Normal 4"/>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1581011121314172836" displayName="Table1581011121314172836" ref="B2:L20" totalsRowShown="0" headerRowDxfId="386" dataDxfId="385" tableBorderDxfId="384" headerRowCellStyle="Normal 4">
  <autoFilter ref="B2:L20" xr:uid="{00000000-0009-0000-0100-000023000000}"/>
  <tableColumns count="11">
    <tableColumn id="1" xr3:uid="{00000000-0010-0000-1F00-000001000000}" name="Spec_x000a_ID" dataDxfId="383" dataCellStyle="Normal 4"/>
    <tableColumn id="2" xr3:uid="{00000000-0010-0000-1F00-000002000000}" name="Spec Number" dataDxfId="382" dataCellStyle="Normal 4"/>
    <tableColumn id="3" xr3:uid="{00000000-0010-0000-1F00-000003000000}" name="Importance" dataDxfId="381" dataCellStyle="Normal 4"/>
    <tableColumn id="4" xr3:uid="{00000000-0010-0000-1F00-000004000000}" name="Description of Capability_x000a__x000a_CAD Interface TDD / TTY" dataDxfId="380" dataCellStyle="Normal 3"/>
    <tableColumn id="5" xr3:uid="{00000000-0010-0000-1F00-000005000000}" name="Availability" dataDxfId="379" dataCellStyle="Normal 3"/>
    <tableColumn id="6" xr3:uid="{00000000-0010-0000-1F00-000006000000}" name="Descriptions" dataDxfId="378"/>
    <tableColumn id="7" xr3:uid="{00000000-0010-0000-1F00-000007000000}" name="Summary" dataDxfId="377" dataCellStyle="Normal 4"/>
    <tableColumn id="8" xr3:uid="{00000000-0010-0000-1F00-000008000000}" name="Spec Weight" dataDxfId="376" dataCellStyle="Normal 4">
      <calculatedColumnFormula>VLOOKUP($D3,SpecData,2,FALSE)</calculatedColumnFormula>
    </tableColumn>
    <tableColumn id="9" xr3:uid="{00000000-0010-0000-1F00-000009000000}" name="Avail Weight" dataDxfId="375" dataCellStyle="Normal 4">
      <calculatedColumnFormula>VLOOKUP($F3,AvailabilityData,2,FALSE)</calculatedColumnFormula>
    </tableColumn>
    <tableColumn id="10" xr3:uid="{00000000-0010-0000-1F00-00000A000000}" name="Score" dataDxfId="374" dataCellStyle="Normal 4">
      <calculatedColumnFormula>SUM(K4:K479)</calculatedColumnFormula>
    </tableColumn>
    <tableColumn id="11" xr3:uid="{00000000-0010-0000-1F00-00000B000000}" name="Review Comments" dataDxfId="373" dataCellStyle="Normal 4"/>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Table122232425" displayName="Table122232425" ref="B2:L43" totalsRowShown="0" headerRowDxfId="372" dataDxfId="371" tableBorderDxfId="370" headerRowCellStyle="Normal 4">
  <autoFilter ref="B2:L43" xr:uid="{00000000-0009-0000-0100-000018000000}"/>
  <tableColumns count="11">
    <tableColumn id="1" xr3:uid="{00000000-0010-0000-2000-000001000000}" name="Spec_x000a_ID" dataDxfId="369" dataCellStyle="Normal 4"/>
    <tableColumn id="2" xr3:uid="{00000000-0010-0000-2000-000002000000}" name="Spec Number" dataDxfId="368" dataCellStyle="Normal 4"/>
    <tableColumn id="3" xr3:uid="{00000000-0010-0000-2000-000003000000}" name="Importance" dataDxfId="367" dataCellStyle="Normal 4"/>
    <tableColumn id="4" xr3:uid="{00000000-0010-0000-2000-000004000000}" name="Description of Capability_x000a__x000a_CAD Interface Web CAD" dataDxfId="366" dataCellStyle="Normal 3"/>
    <tableColumn id="5" xr3:uid="{00000000-0010-0000-2000-000005000000}" name="Availability" dataDxfId="365" dataCellStyle="Normal 3"/>
    <tableColumn id="6" xr3:uid="{00000000-0010-0000-2000-000006000000}" name="Descriptions" dataDxfId="364"/>
    <tableColumn id="7" xr3:uid="{00000000-0010-0000-2000-000007000000}" name="Summary" dataDxfId="363"/>
    <tableColumn id="8" xr3:uid="{00000000-0010-0000-2000-000008000000}" name="Spec Weight" dataDxfId="362">
      <calculatedColumnFormula>VLOOKUP($D3,SpecData,2,FALSE)</calculatedColumnFormula>
    </tableColumn>
    <tableColumn id="9" xr3:uid="{00000000-0010-0000-2000-000009000000}" name="Avail Weight" dataDxfId="361">
      <calculatedColumnFormula>VLOOKUP($F3,AvailabilityData,2,FALSE)</calculatedColumnFormula>
    </tableColumn>
    <tableColumn id="10" xr3:uid="{00000000-0010-0000-2000-00000A000000}" name="Score" dataDxfId="360">
      <calculatedColumnFormula>I3*J3</calculatedColumnFormula>
    </tableColumn>
    <tableColumn id="11" xr3:uid="{00000000-0010-0000-2000-00000B000000}" name="Review Comments" dataDxfId="359" dataCellStyle="Normal 4"/>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88D20C-7C07-4095-B8F6-6AF3275EAF8C}" name="Table1222324275" displayName="Table1222324275" ref="B2:L23" totalsRowShown="0" headerRowDxfId="358" dataDxfId="357" tableBorderDxfId="356" headerRowCellStyle="Normal 4">
  <autoFilter ref="B2:L23" xr:uid="{00000000-0009-0000-0100-00001A000000}"/>
  <tableColumns count="11">
    <tableColumn id="1" xr3:uid="{16CDE976-FF9D-4662-8214-230FA78701B9}" name="Spec_x000a_ID" dataDxfId="355" dataCellStyle="Normal 4"/>
    <tableColumn id="2" xr3:uid="{8964190F-E143-4F9B-87FD-F8574786134C}" name="Spec Number" dataDxfId="354" dataCellStyle="Normal 4"/>
    <tableColumn id="3" xr3:uid="{21D5A133-BAD4-4531-AA55-25B6DC300D6C}" name="Importance" dataDxfId="353" dataCellStyle="Normal 4"/>
    <tableColumn id="4" xr3:uid="{7F8D7BD0-47CA-4597-AFC5-6AA133AC0309}" name="Description of Capability_x000a__x000a_CAD Interface LE Records Management System" dataDxfId="352" dataCellStyle="Normal 3"/>
    <tableColumn id="5" xr3:uid="{6E002F0A-A313-4B3F-B936-3E79DFB5C639}" name="Availability" dataDxfId="351" dataCellStyle="Normal 3"/>
    <tableColumn id="6" xr3:uid="{456BCC64-3228-486B-A031-0CDE88C0B999}" name="Descriptions" dataDxfId="350"/>
    <tableColumn id="7" xr3:uid="{6C7326EE-42DA-49F5-B036-38EB0BB109A1}" name="Summary" dataDxfId="349"/>
    <tableColumn id="8" xr3:uid="{46D496A4-2DFD-48DF-8AB3-46D15D1F3801}" name="Spec Weight" dataDxfId="348">
      <calculatedColumnFormula>VLOOKUP($D3,SpecData,2,FALSE)</calculatedColumnFormula>
    </tableColumn>
    <tableColumn id="9" xr3:uid="{DE50F2AF-7E3B-4E1A-A57E-16C7A00D1AC9}" name="Avail Weight" dataDxfId="347">
      <calculatedColumnFormula>VLOOKUP($F3,AvailabilityData,2,FALSE)</calculatedColumnFormula>
    </tableColumn>
    <tableColumn id="10" xr3:uid="{5BA5A5B3-A33C-4777-84B8-42C98C8B06F8}" name="Score" dataDxfId="346">
      <calculatedColumnFormula>I3*J3</calculatedColumnFormula>
    </tableColumn>
    <tableColumn id="11" xr3:uid="{9A2421D3-94DA-428C-915C-CA6F0C716677}" name="Review Comments" dataDxfId="345"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able134" displayName="Table134" ref="B2:L19" totalsRowShown="0" headerRowDxfId="779" dataDxfId="778" tableBorderDxfId="777" headerRowCellStyle="Normal 4">
  <autoFilter ref="B2:L19" xr:uid="{00000000-0009-0000-0100-000003000000}"/>
  <tableColumns count="11">
    <tableColumn id="1" xr3:uid="{00000000-0010-0000-0300-000001000000}" name="Spec_x000a_ID" dataDxfId="776" dataCellStyle="Normal 4"/>
    <tableColumn id="2" xr3:uid="{00000000-0010-0000-0300-000002000000}" name="Spec Number" dataDxfId="775" dataCellStyle="Normal 4"/>
    <tableColumn id="3" xr3:uid="{00000000-0010-0000-0300-000003000000}" name="Importance" dataDxfId="774" dataCellStyle="Normal 4"/>
    <tableColumn id="4" xr3:uid="{00000000-0010-0000-0300-000004000000}" name="Description of Capability_x000a__x000a_CAD Interface Alarm Tracking and Billing" dataDxfId="773" dataCellStyle="Normal 3"/>
    <tableColumn id="5" xr3:uid="{00000000-0010-0000-0300-000005000000}" name="Availability" dataDxfId="772" dataCellStyle="Normal 3"/>
    <tableColumn id="6" xr3:uid="{00000000-0010-0000-0300-000006000000}" name="Descriptions" dataDxfId="771"/>
    <tableColumn id="7" xr3:uid="{00000000-0010-0000-0300-000007000000}" name="Summary" dataDxfId="770"/>
    <tableColumn id="8" xr3:uid="{00000000-0010-0000-0300-000008000000}" name="Spec Weight" dataDxfId="769">
      <calculatedColumnFormula>VLOOKUP($D3,SpecData,2,FALSE)</calculatedColumnFormula>
    </tableColumn>
    <tableColumn id="9" xr3:uid="{00000000-0010-0000-0300-000009000000}" name="Avail Weight" dataDxfId="768">
      <calculatedColumnFormula>VLOOKUP($F3,AvailabilityData,2,FALSE)</calculatedColumnFormula>
    </tableColumn>
    <tableColumn id="10" xr3:uid="{00000000-0010-0000-0300-00000A000000}" name="Score" dataDxfId="767">
      <calculatedColumnFormula>SUM(K4:K478)</calculatedColumnFormula>
    </tableColumn>
    <tableColumn id="11" xr3:uid="{00000000-0010-0000-0300-00000B000000}" name="Review Comments" dataDxfId="766"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4000000}" name="Table1222331" displayName="Table1222331" ref="B2:L52" totalsRowShown="0" headerRowDxfId="765" dataDxfId="764" tableBorderDxfId="763" headerRowCellStyle="Normal 4">
  <autoFilter ref="B2:L52" xr:uid="{00000000-0009-0000-0100-00001E000000}"/>
  <tableColumns count="11">
    <tableColumn id="1" xr3:uid="{00000000-0010-0000-0400-000001000000}" name="Spec_x000a_ID" dataDxfId="762" dataCellStyle="Normal 4"/>
    <tableColumn id="2" xr3:uid="{00000000-0010-0000-0400-000002000000}" name="Spec Number" dataDxfId="761" dataCellStyle="Normal 4"/>
    <tableColumn id="3" xr3:uid="{00000000-0010-0000-0400-000003000000}" name="Importance" dataDxfId="760" dataCellStyle="Normal 4"/>
    <tableColumn id="4" xr3:uid="{00000000-0010-0000-0400-000004000000}" name="Description of Capability_x000a__x000a_CAD Interface Alerting" dataDxfId="759" dataCellStyle="Normal 3"/>
    <tableColumn id="5" xr3:uid="{00000000-0010-0000-0400-000005000000}" name="Availability" dataDxfId="758" dataCellStyle="Normal 3"/>
    <tableColumn id="6" xr3:uid="{00000000-0010-0000-0400-000006000000}" name="Descriptions" dataDxfId="757"/>
    <tableColumn id="7" xr3:uid="{00000000-0010-0000-0400-000007000000}" name="Summary" dataDxfId="756"/>
    <tableColumn id="8" xr3:uid="{00000000-0010-0000-0400-000008000000}" name="Spec Weight" dataDxfId="755">
      <calculatedColumnFormula>VLOOKUP($D3,SpecData,2,FALSE)</calculatedColumnFormula>
    </tableColumn>
    <tableColumn id="9" xr3:uid="{00000000-0010-0000-0400-000009000000}" name="Avail Weight" dataDxfId="754">
      <calculatedColumnFormula>VLOOKUP($F3,AvailabilityData,2,FALSE)</calculatedColumnFormula>
    </tableColumn>
    <tableColumn id="10" xr3:uid="{00000000-0010-0000-0400-00000A000000}" name="Score" dataDxfId="753">
      <calculatedColumnFormula>I3*J3</calculatedColumnFormula>
    </tableColumn>
    <tableColumn id="11" xr3:uid="{00000000-0010-0000-0400-00000B000000}" name="Review Comments" dataDxfId="752"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121" displayName="Table121" ref="B2:L52" totalsRowShown="0" headerRowDxfId="751" dataDxfId="750" tableBorderDxfId="749" headerRowCellStyle="Normal 4">
  <autoFilter ref="B2:L52" xr:uid="{00000000-0009-0000-0100-000014000000}"/>
  <tableColumns count="11">
    <tableColumn id="1" xr3:uid="{00000000-0010-0000-0500-000001000000}" name="Spec_x000a_ID" dataDxfId="748" dataCellStyle="Normal 4"/>
    <tableColumn id="2" xr3:uid="{00000000-0010-0000-0500-000002000000}" name="Spec Number" dataDxfId="747" dataCellStyle="Normal 4"/>
    <tableColumn id="3" xr3:uid="{00000000-0010-0000-0500-000003000000}" name="Importance" dataDxfId="746" dataCellStyle="Normal 4"/>
    <tableColumn id="4" xr3:uid="{00000000-0010-0000-0500-000004000000}" name="Description of Capability_x000a__x000a_CAD Interface Alphanumeric / Text Paging" dataDxfId="745" dataCellStyle="Normal 3"/>
    <tableColumn id="5" xr3:uid="{00000000-0010-0000-0500-000005000000}" name="Availability" dataDxfId="744" dataCellStyle="Normal 3"/>
    <tableColumn id="6" xr3:uid="{00000000-0010-0000-0500-000006000000}" name="Descriptions" dataDxfId="743"/>
    <tableColumn id="7" xr3:uid="{00000000-0010-0000-0500-000007000000}" name="Summary" dataDxfId="742"/>
    <tableColumn id="8" xr3:uid="{00000000-0010-0000-0500-000008000000}" name="Spec Weight" dataDxfId="741">
      <calculatedColumnFormula>VLOOKUP($D3,SpecData,2,FALSE)</calculatedColumnFormula>
    </tableColumn>
    <tableColumn id="9" xr3:uid="{00000000-0010-0000-0500-000009000000}" name="Avail Weight" dataDxfId="740">
      <calculatedColumnFormula>VLOOKUP($F3,AvailabilityData,2,FALSE)</calculatedColumnFormula>
    </tableColumn>
    <tableColumn id="10" xr3:uid="{00000000-0010-0000-0500-00000A000000}" name="Score" dataDxfId="739">
      <calculatedColumnFormula>I3*J3</calculatedColumnFormula>
    </tableColumn>
    <tableColumn id="11" xr3:uid="{00000000-0010-0000-0500-00000B000000}" name="Review Comments" dataDxfId="738" dataCellStyle="Normal 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122" displayName="Table122" ref="B2:L32" totalsRowShown="0" headerRowDxfId="737" dataDxfId="736" tableBorderDxfId="735" headerRowCellStyle="Normal 4">
  <autoFilter ref="B2:L32" xr:uid="{00000000-0009-0000-0100-000015000000}"/>
  <tableColumns count="11">
    <tableColumn id="1" xr3:uid="{00000000-0010-0000-0600-000001000000}" name="Spec_x000a_ID" dataDxfId="734" dataCellStyle="Normal 4"/>
    <tableColumn id="2" xr3:uid="{00000000-0010-0000-0600-000002000000}" name="Spec Number" dataDxfId="733" dataCellStyle="Normal 4"/>
    <tableColumn id="3" xr3:uid="{00000000-0010-0000-0600-000003000000}" name="Importance" dataDxfId="732" dataCellStyle="Normal 4"/>
    <tableColumn id="4" xr3:uid="{00000000-0010-0000-0600-000004000000}" name="Description of Capability_x000a__x000a_CAD Interfaces AVL" dataDxfId="731" dataCellStyle="Normal 3"/>
    <tableColumn id="5" xr3:uid="{00000000-0010-0000-0600-000005000000}" name="Availability" dataDxfId="730" dataCellStyle="Normal 3"/>
    <tableColumn id="6" xr3:uid="{00000000-0010-0000-0600-000006000000}" name="Descriptions" dataDxfId="729"/>
    <tableColumn id="7" xr3:uid="{00000000-0010-0000-0600-000007000000}" name="Summary" dataDxfId="728"/>
    <tableColumn id="8" xr3:uid="{00000000-0010-0000-0600-000008000000}" name="Spec Weight" dataDxfId="727">
      <calculatedColumnFormula>VLOOKUP($D3,SpecData,2,FALSE)</calculatedColumnFormula>
    </tableColumn>
    <tableColumn id="9" xr3:uid="{00000000-0010-0000-0600-000009000000}" name="Avail Weight" dataDxfId="726">
      <calculatedColumnFormula>VLOOKUP($F3,AvailabilityData,2,FALSE)</calculatedColumnFormula>
    </tableColumn>
    <tableColumn id="10" xr3:uid="{00000000-0010-0000-0600-00000A000000}" name="Score" dataDxfId="725">
      <calculatedColumnFormula>I3*J3</calculatedColumnFormula>
    </tableColumn>
    <tableColumn id="11" xr3:uid="{00000000-0010-0000-0600-00000B000000}" name="Review Comments" dataDxfId="724" dataCellStyle="Normal 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7000000}" name="Table157" displayName="Table157" ref="B2:L27" totalsRowShown="0" headerRowDxfId="723" dataDxfId="722" tableBorderDxfId="721" headerRowCellStyle="Normal 4">
  <autoFilter ref="B2:L27" xr:uid="{00000000-0009-0000-0100-000006000000}"/>
  <tableColumns count="11">
    <tableColumn id="1" xr3:uid="{00000000-0010-0000-0700-000001000000}" name="Spec_x000a_ID" dataDxfId="720" dataCellStyle="Normal 4"/>
    <tableColumn id="2" xr3:uid="{00000000-0010-0000-0700-000002000000}" name="Spec Number" dataDxfId="719" dataCellStyle="Normal 4"/>
    <tableColumn id="3" xr3:uid="{00000000-0010-0000-0700-000003000000}" name="Importance" dataDxfId="718" dataCellStyle="Normal 4"/>
    <tableColumn id="4" xr3:uid="{00000000-0010-0000-0700-000004000000}" name="Description of Capability_x000a__x000a_CAD Interface Bar-Coding" dataDxfId="717" dataCellStyle="Normal 3"/>
    <tableColumn id="5" xr3:uid="{00000000-0010-0000-0700-000005000000}" name="Availability" dataDxfId="716" dataCellStyle="Normal 3"/>
    <tableColumn id="6" xr3:uid="{00000000-0010-0000-0700-000006000000}" name="Descriptions" dataDxfId="715"/>
    <tableColumn id="7" xr3:uid="{00000000-0010-0000-0700-000007000000}" name="Summary" dataDxfId="714" dataCellStyle="Normal 4"/>
    <tableColumn id="8" xr3:uid="{00000000-0010-0000-0700-000008000000}" name="Spec Weight" dataDxfId="713" dataCellStyle="Normal 4">
      <calculatedColumnFormula>VLOOKUP($D3,SpecData,2,FALSE)</calculatedColumnFormula>
    </tableColumn>
    <tableColumn id="9" xr3:uid="{00000000-0010-0000-0700-000009000000}" name="Avail Weight" dataDxfId="712" dataCellStyle="Normal 4">
      <calculatedColumnFormula>VLOOKUP($F3,AvailabilityData,2,FALSE)</calculatedColumnFormula>
    </tableColumn>
    <tableColumn id="10" xr3:uid="{00000000-0010-0000-0700-00000A000000}" name="Score" dataDxfId="711" dataCellStyle="Normal 4">
      <calculatedColumnFormula>SUM(K4:K486)</calculatedColumnFormula>
    </tableColumn>
    <tableColumn id="11" xr3:uid="{00000000-0010-0000-0700-00000B000000}" name="Review Comments" dataDxfId="710" dataCellStyle="Normal 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98D70E-C620-4DDB-AD78-53598D0552E4}" name="Table158" displayName="Table158" ref="B2:L19" totalsRowShown="0" headerRowDxfId="709" dataDxfId="708" tableBorderDxfId="707" headerRowCellStyle="Normal 4">
  <autoFilter ref="B2:L19" xr:uid="{00000000-0009-0000-0100-000007000000}"/>
  <tableColumns count="11">
    <tableColumn id="1" xr3:uid="{CA7DBFB0-A6EF-4A19-9ABA-65FE42CCC436}" name="Spec_x000a_ID" dataDxfId="706" dataCellStyle="Normal 4"/>
    <tableColumn id="2" xr3:uid="{1CD0A3FD-E0DC-4B1C-9D0F-177317508C12}" name="Spec Number" dataDxfId="705" dataCellStyle="Normal 4"/>
    <tableColumn id="3" xr3:uid="{DE2D4027-532A-4F9D-8C4F-81CA049CDF22}" name="Importance" dataDxfId="704" dataCellStyle="Normal 4"/>
    <tableColumn id="4" xr3:uid="{DE3F6A99-15D9-472D-B1B3-C08643A8E91E}" name="Description of Capability_x000a__x000a_CAD Interface Dynamic Radio Re-Grouping" dataDxfId="703" dataCellStyle="Normal 3"/>
    <tableColumn id="5" xr3:uid="{C6CBE5C2-7FA5-4D6F-8068-D7E316505DEC}" name="Availability" dataDxfId="702" dataCellStyle="Normal 3"/>
    <tableColumn id="6" xr3:uid="{2ACE2FD8-B033-4187-898C-9256CB925C56}" name="Descriptions" dataDxfId="701"/>
    <tableColumn id="7" xr3:uid="{EAF1DFBD-ABDC-45CB-9994-55E534CB34F1}" name="Summary" dataDxfId="700" dataCellStyle="Normal 4"/>
    <tableColumn id="8" xr3:uid="{3D42CA33-8FAA-48EB-8C74-B0724A2158E0}" name="Spec Weight" dataDxfId="699" dataCellStyle="Normal 4">
      <calculatedColumnFormula>VLOOKUP($D3,SpecData,2,FALSE)</calculatedColumnFormula>
    </tableColumn>
    <tableColumn id="9" xr3:uid="{A0DE1DE3-A339-4837-9A11-DF45730D7098}" name="Avail Weight" dataDxfId="698" dataCellStyle="Normal 4">
      <calculatedColumnFormula>VLOOKUP($F3,AvailabilityData,2,FALSE)</calculatedColumnFormula>
    </tableColumn>
    <tableColumn id="10" xr3:uid="{904C769F-A1E3-4C41-BEE2-DE54F20AB021}" name="Score" dataDxfId="697" dataCellStyle="Normal 4">
      <calculatedColumnFormula>SUM(K4:K478)</calculatedColumnFormula>
    </tableColumn>
    <tableColumn id="11" xr3:uid="{ECCFB319-3E8C-44C7-9708-8CEB1866AFE2}" name="Review Comments" dataDxfId="696" data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J175"/>
  <sheetViews>
    <sheetView showGridLines="0" zoomScale="50" zoomScaleNormal="50" zoomScalePageLayoutView="40" workbookViewId="0">
      <selection activeCell="D14" sqref="D14"/>
    </sheetView>
  </sheetViews>
  <sheetFormatPr defaultColWidth="0" defaultRowHeight="14.4" zeroHeight="1" x14ac:dyDescent="0.3"/>
  <cols>
    <col min="1" max="1" width="1.33203125" customWidth="1"/>
    <col min="2" max="2" width="14.33203125" customWidth="1"/>
    <col min="3" max="3" width="64.5546875" customWidth="1"/>
    <col min="4" max="9" width="18.6640625" customWidth="1"/>
    <col min="10" max="10" width="0.6640625" customWidth="1"/>
    <col min="11" max="16384" width="9.33203125" hidden="1"/>
  </cols>
  <sheetData>
    <row r="1" spans="2:9" ht="3" customHeight="1" thickBot="1" x14ac:dyDescent="0.35"/>
    <row r="2" spans="2:9" ht="32.1" customHeight="1" thickBot="1" x14ac:dyDescent="0.35">
      <c r="B2" s="371" t="s">
        <v>0</v>
      </c>
      <c r="C2" s="372"/>
      <c r="D2" s="372"/>
      <c r="E2" s="372"/>
      <c r="F2" s="372"/>
      <c r="G2" s="372"/>
      <c r="H2" s="372"/>
      <c r="I2" s="372"/>
    </row>
    <row r="3" spans="2:9" ht="3.75" customHeight="1" x14ac:dyDescent="0.3">
      <c r="B3" s="21"/>
      <c r="C3" s="21"/>
      <c r="D3" s="21"/>
      <c r="E3" s="21"/>
      <c r="F3" s="21"/>
      <c r="G3" s="21"/>
      <c r="H3" s="21"/>
      <c r="I3" s="21"/>
    </row>
    <row r="4" spans="2:9" ht="22.2" customHeight="1" x14ac:dyDescent="0.3">
      <c r="B4" s="27" t="s">
        <v>1</v>
      </c>
      <c r="C4" s="18"/>
      <c r="D4" s="18"/>
      <c r="E4" s="18"/>
      <c r="F4" s="19"/>
      <c r="G4" s="27" t="s">
        <v>2</v>
      </c>
      <c r="H4" s="18"/>
      <c r="I4" s="19"/>
    </row>
    <row r="5" spans="2:9" ht="3.75" customHeight="1" thickBot="1" x14ac:dyDescent="0.35">
      <c r="B5" s="22"/>
      <c r="C5" s="22"/>
      <c r="D5" s="22"/>
      <c r="E5" s="22"/>
      <c r="F5" s="22"/>
      <c r="G5" s="22"/>
      <c r="H5" s="22"/>
      <c r="I5" s="22"/>
    </row>
    <row r="6" spans="2:9" ht="36.75" customHeight="1" thickBot="1" x14ac:dyDescent="0.35">
      <c r="B6" s="91" t="s">
        <v>3</v>
      </c>
      <c r="C6" s="92"/>
      <c r="D6" s="93"/>
      <c r="E6" s="94"/>
      <c r="F6" s="92"/>
      <c r="G6" s="95">
        <f>D12</f>
        <v>0</v>
      </c>
      <c r="H6" s="92"/>
      <c r="I6" s="93"/>
    </row>
    <row r="7" spans="2:9" ht="3.75" customHeight="1" x14ac:dyDescent="0.3">
      <c r="B7" s="21"/>
      <c r="C7" s="21"/>
      <c r="D7" s="21"/>
      <c r="E7" s="21"/>
      <c r="F7" s="21"/>
      <c r="G7" s="21"/>
      <c r="H7" s="21"/>
      <c r="I7" s="21"/>
    </row>
    <row r="8" spans="2:9" s="9" customFormat="1" ht="35.25" customHeight="1" x14ac:dyDescent="0.3">
      <c r="B8" s="10" t="s">
        <v>4</v>
      </c>
      <c r="C8" s="10" t="s">
        <v>5</v>
      </c>
      <c r="D8" s="10" t="s">
        <v>6</v>
      </c>
      <c r="E8" s="10" t="s">
        <v>7</v>
      </c>
      <c r="F8" s="10" t="s">
        <v>8</v>
      </c>
      <c r="G8" s="10" t="s">
        <v>9</v>
      </c>
      <c r="H8" s="10" t="s">
        <v>10</v>
      </c>
      <c r="I8" s="10" t="s">
        <v>11</v>
      </c>
    </row>
    <row r="9" spans="2:9" ht="20.100000000000001" customHeight="1" x14ac:dyDescent="0.3">
      <c r="B9" s="11" t="s">
        <v>12</v>
      </c>
      <c r="C9" s="11" t="s">
        <v>13</v>
      </c>
      <c r="D9" s="12">
        <f>(G9*3)+(H9*2)+(I9*1)</f>
        <v>1543</v>
      </c>
      <c r="E9" s="12">
        <f>E15</f>
        <v>979</v>
      </c>
      <c r="F9" s="12">
        <f>F15</f>
        <v>979</v>
      </c>
      <c r="G9" s="12">
        <f>G15</f>
        <v>258</v>
      </c>
      <c r="H9" s="12">
        <f>H15</f>
        <v>206</v>
      </c>
      <c r="I9" s="12">
        <f>I15</f>
        <v>357</v>
      </c>
    </row>
    <row r="10" spans="2:9" ht="3.75" customHeight="1" x14ac:dyDescent="0.3">
      <c r="B10" s="23"/>
      <c r="C10" s="23"/>
      <c r="D10" s="23"/>
      <c r="E10" s="23"/>
      <c r="F10" s="23"/>
      <c r="G10" s="23"/>
      <c r="H10" s="23"/>
      <c r="I10" s="23"/>
    </row>
    <row r="11" spans="2:9" s="9" customFormat="1" ht="43.5" customHeight="1" x14ac:dyDescent="0.3">
      <c r="B11" s="10" t="s">
        <v>4</v>
      </c>
      <c r="C11" s="10" t="s">
        <v>5</v>
      </c>
      <c r="D11" s="10" t="s">
        <v>14</v>
      </c>
      <c r="E11" s="10" t="s">
        <v>7</v>
      </c>
      <c r="F11" s="10" t="s">
        <v>8</v>
      </c>
      <c r="G11" s="10" t="s">
        <v>15</v>
      </c>
      <c r="H11" s="10" t="s">
        <v>16</v>
      </c>
      <c r="I11" s="10" t="s">
        <v>17</v>
      </c>
    </row>
    <row r="12" spans="2:9" ht="20.100000000000001" customHeight="1" x14ac:dyDescent="0.3">
      <c r="B12" s="11" t="s">
        <v>12</v>
      </c>
      <c r="C12" s="11" t="s">
        <v>13</v>
      </c>
      <c r="D12" s="12">
        <f>D75+D105+D135</f>
        <v>0</v>
      </c>
      <c r="E12" s="12">
        <f>E45</f>
        <v>979</v>
      </c>
      <c r="F12" s="12">
        <f>F45</f>
        <v>979</v>
      </c>
      <c r="G12" s="12">
        <f>G45</f>
        <v>0</v>
      </c>
      <c r="H12" s="12">
        <f>H45</f>
        <v>0</v>
      </c>
      <c r="I12" s="12">
        <f>I45</f>
        <v>0</v>
      </c>
    </row>
    <row r="13" spans="2:9" ht="3.75" customHeight="1" x14ac:dyDescent="0.3">
      <c r="B13" s="23"/>
      <c r="C13" s="23"/>
      <c r="D13" s="23"/>
      <c r="E13" s="23"/>
      <c r="F13" s="23"/>
      <c r="G13" s="23"/>
      <c r="H13" s="23"/>
      <c r="I13" s="23"/>
    </row>
    <row r="14" spans="2:9" s="9" customFormat="1" ht="35.25" customHeight="1" x14ac:dyDescent="0.3">
      <c r="B14" s="10" t="s">
        <v>4</v>
      </c>
      <c r="C14" s="10" t="s">
        <v>5</v>
      </c>
      <c r="D14" s="10" t="s">
        <v>6</v>
      </c>
      <c r="E14" s="10" t="s">
        <v>7</v>
      </c>
      <c r="F14" s="10" t="s">
        <v>8</v>
      </c>
      <c r="G14" s="10" t="s">
        <v>9</v>
      </c>
      <c r="H14" s="10" t="s">
        <v>10</v>
      </c>
      <c r="I14" s="10" t="s">
        <v>11</v>
      </c>
    </row>
    <row r="15" spans="2:9" ht="20.100000000000001" customHeight="1" x14ac:dyDescent="0.3">
      <c r="B15" s="11" t="s">
        <v>18</v>
      </c>
      <c r="C15" s="12"/>
      <c r="D15" s="12">
        <f>SUM(D16:D42)</f>
        <v>1543</v>
      </c>
      <c r="E15" s="12">
        <f>SUM(E16:E42)</f>
        <v>979</v>
      </c>
      <c r="F15" s="12">
        <f t="shared" ref="F15:I15" si="0">SUM(F16:F42)</f>
        <v>979</v>
      </c>
      <c r="G15" s="12">
        <f t="shared" si="0"/>
        <v>258</v>
      </c>
      <c r="H15" s="12">
        <f t="shared" si="0"/>
        <v>206</v>
      </c>
      <c r="I15" s="12">
        <f t="shared" si="0"/>
        <v>357</v>
      </c>
    </row>
    <row r="16" spans="2:9" ht="20.100000000000001" customHeight="1" x14ac:dyDescent="0.3">
      <c r="B16" s="11"/>
      <c r="C16" s="12" t="str">
        <f>'Support Data'!F5</f>
        <v>CAD Interface General Requirements</v>
      </c>
      <c r="D16" s="12">
        <f>(G16*3)+(H16*2)+(I16*1)</f>
        <v>91</v>
      </c>
      <c r="E16" s="12">
        <f>'General Interface'!H3</f>
        <v>39</v>
      </c>
      <c r="F16" s="12">
        <f>'General Interface'!H4</f>
        <v>39</v>
      </c>
      <c r="G16" s="12">
        <f>COUNTIF('General Interface'!$D:$D,"Crucial")</f>
        <v>22</v>
      </c>
      <c r="H16" s="12">
        <f>COUNTIF('General Interface'!$D:$D,"Important")</f>
        <v>9</v>
      </c>
      <c r="I16" s="12">
        <f>COUNTIF('General Interface'!$D:$D,"Minimal")</f>
        <v>7</v>
      </c>
    </row>
    <row r="17" spans="2:9" ht="20.100000000000001" customHeight="1" x14ac:dyDescent="0.3">
      <c r="B17" s="11"/>
      <c r="C17" s="12" t="str">
        <f>'Support Data'!F6</f>
        <v>CAD Interface Alarm Monitoring</v>
      </c>
      <c r="D17" s="12">
        <f t="shared" ref="D17:D42" si="1">(G17*3)+(H17*2)+(I17*1)</f>
        <v>18</v>
      </c>
      <c r="E17" s="12">
        <f>'Alarm Monitoring'!H3</f>
        <v>9</v>
      </c>
      <c r="F17" s="12">
        <f>'Alarm Monitoring'!H4</f>
        <v>9</v>
      </c>
      <c r="G17" s="12">
        <f>COUNTIF('Alarm Monitoring'!$D:$D,"Crucial")</f>
        <v>0</v>
      </c>
      <c r="H17" s="12">
        <f>COUNTIF('Alarm Monitoring'!$D:$D,"Important")</f>
        <v>9</v>
      </c>
      <c r="I17" s="12">
        <f>COUNTIF('Alarm Monitoring'!$D:$D,"Minimal")</f>
        <v>0</v>
      </c>
    </row>
    <row r="18" spans="2:9" ht="20.100000000000001" customHeight="1" x14ac:dyDescent="0.3">
      <c r="B18" s="11"/>
      <c r="C18" s="12" t="str">
        <f>'Support Data'!F7</f>
        <v>CAD Interface Alarm Tracking and Billing</v>
      </c>
      <c r="D18" s="12">
        <f t="shared" si="1"/>
        <v>8</v>
      </c>
      <c r="E18" s="12">
        <f>'Alarm Tracking and Billing'!H3</f>
        <v>8</v>
      </c>
      <c r="F18" s="12">
        <f>'Alarm Tracking and Billing'!H4</f>
        <v>8</v>
      </c>
      <c r="G18" s="12">
        <f>COUNTIF('Alarm Tracking and Billing'!$D:$D,"Crucial")</f>
        <v>0</v>
      </c>
      <c r="H18" s="12">
        <f>COUNTIF('Alarm Tracking and Billing'!$D:$D,"Important")</f>
        <v>0</v>
      </c>
      <c r="I18" s="12">
        <f>COUNTIF('Alarm Tracking and Billing'!$D:$D,"Minimal")</f>
        <v>8</v>
      </c>
    </row>
    <row r="19" spans="2:9" ht="20.100000000000001" customHeight="1" x14ac:dyDescent="0.3">
      <c r="B19" s="11"/>
      <c r="C19" s="12" t="str">
        <f>'Support Data'!F8</f>
        <v>CAD Interface Alerting</v>
      </c>
      <c r="D19" s="12">
        <f t="shared" si="1"/>
        <v>134</v>
      </c>
      <c r="E19" s="12">
        <f>'Alerting Interface'!H3</f>
        <v>46</v>
      </c>
      <c r="F19" s="12">
        <f>'Alerting Interface'!H4</f>
        <v>46</v>
      </c>
      <c r="G19" s="12">
        <f>COUNTIF('Alerting Interface'!$D:$D,"Crucial")</f>
        <v>42</v>
      </c>
      <c r="H19" s="12">
        <f>COUNTIF('Alerting Interface'!$D:$D,"Important")</f>
        <v>4</v>
      </c>
      <c r="I19" s="12">
        <f>COUNTIF('Alerting Interface'!$D:$D,"Minimal")</f>
        <v>0</v>
      </c>
    </row>
    <row r="20" spans="2:9" ht="20.100000000000001" customHeight="1" x14ac:dyDescent="0.3">
      <c r="B20" s="11"/>
      <c r="C20" s="12" t="str">
        <f>'Support Data'!F9</f>
        <v>CAD Interface Alphanumeric / Text Paging</v>
      </c>
      <c r="D20" s="12">
        <f t="shared" si="1"/>
        <v>78</v>
      </c>
      <c r="E20" s="12">
        <f>'Alpha-Text Paging Interface'!H3</f>
        <v>46</v>
      </c>
      <c r="F20" s="12">
        <f>'Alpha-Text Paging Interface'!H4</f>
        <v>46</v>
      </c>
      <c r="G20" s="12">
        <f>COUNTIF('Alpha-Text Paging Interface'!$D:$D,"Crucial")</f>
        <v>4</v>
      </c>
      <c r="H20" s="12">
        <f>COUNTIF('Alpha-Text Paging Interface'!$D:$D,"Important")</f>
        <v>24</v>
      </c>
      <c r="I20" s="12">
        <f>COUNTIF('Alpha-Text Paging Interface'!$D:$D,"Minimal")</f>
        <v>18</v>
      </c>
    </row>
    <row r="21" spans="2:9" ht="20.100000000000001" customHeight="1" x14ac:dyDescent="0.3">
      <c r="B21" s="11"/>
      <c r="C21" s="12" t="str">
        <f>'Support Data'!F10</f>
        <v>CAD Interface AVL</v>
      </c>
      <c r="D21" s="12">
        <f t="shared" si="1"/>
        <v>72</v>
      </c>
      <c r="E21" s="12">
        <f>'AVL Interface'!H3</f>
        <v>28</v>
      </c>
      <c r="F21" s="12">
        <f>'AVL Interface'!H4</f>
        <v>28</v>
      </c>
      <c r="G21" s="12">
        <f>COUNTIF('AVL Interface'!$D:$D,"Crucial")</f>
        <v>16</v>
      </c>
      <c r="H21" s="12">
        <f>COUNTIF('AVL Interface'!$D:$D,"Important")</f>
        <v>12</v>
      </c>
      <c r="I21" s="12">
        <f>COUNTIF('AVL Interface'!$D:$D,"Minimal")</f>
        <v>0</v>
      </c>
    </row>
    <row r="22" spans="2:9" ht="20.100000000000001" customHeight="1" x14ac:dyDescent="0.3">
      <c r="B22" s="11"/>
      <c r="C22" s="12" t="str">
        <f>'Support Data'!F11</f>
        <v>CAD Interface Dynamic Radio Re-Grouping</v>
      </c>
      <c r="D22" s="12">
        <f t="shared" si="1"/>
        <v>6</v>
      </c>
      <c r="E22" s="12">
        <f>'Dynamic Radio Re-Grouping'!H3</f>
        <v>6</v>
      </c>
      <c r="F22" s="12">
        <f>'Dynamic Radio Re-Grouping'!H4</f>
        <v>6</v>
      </c>
      <c r="G22" s="12">
        <f>COUNTIF('Dynamic Radio Re-Grouping'!$D:$D,"Crucial")</f>
        <v>0</v>
      </c>
      <c r="H22" s="12">
        <f>COUNTIF('Dynamic Radio Re-Grouping'!$D:$D,"Important")</f>
        <v>0</v>
      </c>
      <c r="I22" s="12">
        <f>COUNTIF('Dynamic Radio Re-Grouping'!$D:$D,"Minimal")</f>
        <v>6</v>
      </c>
    </row>
    <row r="23" spans="2:9" ht="20.100000000000001" customHeight="1" x14ac:dyDescent="0.3">
      <c r="B23" s="11"/>
      <c r="C23" s="12" t="str">
        <f>'Support Data'!F12</f>
        <v>CAD Interface CAD2CAD</v>
      </c>
      <c r="D23" s="12">
        <f t="shared" si="1"/>
        <v>60</v>
      </c>
      <c r="E23" s="12">
        <f>CAD2CAD!H3</f>
        <v>30</v>
      </c>
      <c r="F23" s="12">
        <f>CAD2CAD!H4</f>
        <v>30</v>
      </c>
      <c r="G23" s="12">
        <f>COUNTIF(CAD2CAD!$D:$D,"Crucial")</f>
        <v>0</v>
      </c>
      <c r="H23" s="12">
        <f>COUNTIF(CAD2CAD!$D:$D,"Important")</f>
        <v>30</v>
      </c>
      <c r="I23" s="12">
        <f>COUNTIF(CAD2CAD!$D:$D,"Minimal")</f>
        <v>0</v>
      </c>
    </row>
    <row r="24" spans="2:9" ht="20.100000000000001" customHeight="1" x14ac:dyDescent="0.3">
      <c r="B24" s="11"/>
      <c r="C24" s="12" t="str">
        <f>'Support Data'!F13</f>
        <v>CAD Interface Dynamic LiveScan Module</v>
      </c>
      <c r="D24" s="12">
        <f t="shared" si="1"/>
        <v>7</v>
      </c>
      <c r="E24" s="12">
        <f>'LiveScan Module'!H3</f>
        <v>7</v>
      </c>
      <c r="F24" s="12">
        <f>'LiveScan Module'!H4</f>
        <v>7</v>
      </c>
      <c r="G24" s="12">
        <f>COUNTIF('LiveScan Module'!$D:$D,"Crucial")</f>
        <v>0</v>
      </c>
      <c r="H24" s="12">
        <f>COUNTIF('LiveScan Module'!$D:$D,"Important")</f>
        <v>0</v>
      </c>
      <c r="I24" s="12">
        <f>COUNTIF('LiveScan Module'!$D:$D,"Minimal")</f>
        <v>7</v>
      </c>
    </row>
    <row r="25" spans="2:9" ht="20.100000000000001" customHeight="1" x14ac:dyDescent="0.3">
      <c r="B25" s="11"/>
      <c r="C25" s="12" t="str">
        <f>'Support Data'!F14</f>
        <v>CAD Dispatch Protocol Software</v>
      </c>
      <c r="D25" s="12">
        <f t="shared" si="1"/>
        <v>80</v>
      </c>
      <c r="E25" s="12">
        <f>'Dispatch Protocol Software'!H3</f>
        <v>44</v>
      </c>
      <c r="F25" s="12">
        <f>'Dispatch Protocol Software'!H4</f>
        <v>44</v>
      </c>
      <c r="G25" s="12">
        <f>COUNTIF('Dispatch Protocol Software'!$D:$D,"Crucial")</f>
        <v>17</v>
      </c>
      <c r="H25" s="12">
        <f>COUNTIF('Dispatch Protocol Software'!$D:$D,"Important")</f>
        <v>2</v>
      </c>
      <c r="I25" s="12">
        <f>COUNTIF('Dispatch Protocol Software'!$D:$D,"Minimal")</f>
        <v>25</v>
      </c>
    </row>
    <row r="26" spans="2:9" ht="20.100000000000001" customHeight="1" x14ac:dyDescent="0.3">
      <c r="B26" s="11"/>
      <c r="C26" s="12" t="str">
        <f>'Support Data'!F15</f>
        <v>CAD Interface E9-1-1</v>
      </c>
      <c r="D26" s="12">
        <f t="shared" si="1"/>
        <v>56</v>
      </c>
      <c r="E26" s="12">
        <f>'E9-1-1 Interface'!H3</f>
        <v>19</v>
      </c>
      <c r="F26" s="12">
        <f>'E9-1-1 Interface'!H4</f>
        <v>19</v>
      </c>
      <c r="G26" s="12">
        <f>COUNTIF('E9-1-1 Interface'!$D:$D,"Crucial")</f>
        <v>18</v>
      </c>
      <c r="H26" s="12">
        <f>COUNTIF('E9-1-1 Interface'!$D:$D,"Important")</f>
        <v>1</v>
      </c>
      <c r="I26" s="12">
        <f>COUNTIF('E9-1-1 Interface'!$D:$D,"Minimal")</f>
        <v>0</v>
      </c>
    </row>
    <row r="27" spans="2:9" ht="20.100000000000001" customHeight="1" x14ac:dyDescent="0.3">
      <c r="B27" s="11"/>
      <c r="C27" s="12" t="str">
        <f>'Support Data'!F16</f>
        <v>CAD Interface Emergency Notification System</v>
      </c>
      <c r="D27" s="12">
        <f t="shared" si="1"/>
        <v>22</v>
      </c>
      <c r="E27" s="12">
        <f>'Emergency Notification System'!H3</f>
        <v>11</v>
      </c>
      <c r="F27" s="12">
        <f>'Emergency Notification System'!H4</f>
        <v>11</v>
      </c>
      <c r="G27" s="12">
        <f>COUNTIF('Emergency Notification System'!$D:$D,"Crucial")</f>
        <v>0</v>
      </c>
      <c r="H27" s="12">
        <f>COUNTIF('Emergency Notification System'!$D:$D,"Important")</f>
        <v>11</v>
      </c>
      <c r="I27" s="12">
        <f>COUNTIF('Emergency Notification System'!$D:$D,"Minimal")</f>
        <v>0</v>
      </c>
    </row>
    <row r="28" spans="2:9" ht="20.100000000000001" customHeight="1" x14ac:dyDescent="0.3">
      <c r="B28" s="11"/>
      <c r="C28" s="12" t="str">
        <f>'Support Data'!F17</f>
        <v>CAD Interface ePCR</v>
      </c>
      <c r="D28" s="12">
        <f t="shared" si="1"/>
        <v>107</v>
      </c>
      <c r="E28" s="12">
        <f>ePCR!H3</f>
        <v>200</v>
      </c>
      <c r="F28" s="12">
        <f>ePCR!H4</f>
        <v>200</v>
      </c>
      <c r="G28" s="12">
        <f>COUNTIF(ePCR!$D:$D,"Crucial")</f>
        <v>21</v>
      </c>
      <c r="H28" s="12">
        <f>COUNTIF(ePCR!$D:$D,"Important")</f>
        <v>22</v>
      </c>
      <c r="I28" s="12">
        <f>COUNTIF(ePCR!$D:$D,"Minimal")</f>
        <v>0</v>
      </c>
    </row>
    <row r="29" spans="2:9" ht="20.100000000000001" customHeight="1" x14ac:dyDescent="0.3">
      <c r="B29" s="11"/>
      <c r="C29" s="12" t="str">
        <f>'Support Data'!F18</f>
        <v>CAD Interface External Databases</v>
      </c>
      <c r="D29" s="12">
        <f t="shared" si="1"/>
        <v>64</v>
      </c>
      <c r="E29" s="12">
        <f>'External Databases'!H3</f>
        <v>62</v>
      </c>
      <c r="F29" s="12">
        <f>'External Databases'!H4</f>
        <v>62</v>
      </c>
      <c r="G29" s="12">
        <f>COUNTIF('External Databases'!$D:$D,"Crucial")</f>
        <v>1</v>
      </c>
      <c r="H29" s="12">
        <f>COUNTIF('External Databases'!$D:$D,"Important")</f>
        <v>0</v>
      </c>
      <c r="I29" s="12">
        <f>COUNTIF('External Databases'!$D:$D,"Minimal")</f>
        <v>61</v>
      </c>
    </row>
    <row r="30" spans="2:9" ht="20.100000000000001" customHeight="1" x14ac:dyDescent="0.3">
      <c r="B30" s="11"/>
      <c r="C30" s="12" t="str">
        <f>'Support Data'!F19</f>
        <v>CAD Interface Firehouse Software</v>
      </c>
      <c r="D30" s="12">
        <f t="shared" si="1"/>
        <v>46</v>
      </c>
      <c r="E30" s="12">
        <f>FRMS!H3</f>
        <v>21</v>
      </c>
      <c r="F30" s="12">
        <f>FRMS!H4</f>
        <v>21</v>
      </c>
      <c r="G30" s="12">
        <f>COUNTIF(FRMS!$D:$D,"Crucial")</f>
        <v>12</v>
      </c>
      <c r="H30" s="12">
        <f>COUNTIF(FRMS!$D:$D,"Important")</f>
        <v>1</v>
      </c>
      <c r="I30" s="12">
        <f>COUNTIF(FRMS!$D:$D,"Minimal")</f>
        <v>8</v>
      </c>
    </row>
    <row r="31" spans="2:9" ht="20.100000000000001" customHeight="1" x14ac:dyDescent="0.3">
      <c r="B31" s="11"/>
      <c r="C31" s="12" t="str">
        <f>'Support Data'!F20</f>
        <v>CAD Interface Forms/Report Writing Tool</v>
      </c>
      <c r="D31" s="12">
        <f t="shared" si="1"/>
        <v>21</v>
      </c>
      <c r="E31" s="12">
        <f>Forms!H3</f>
        <v>7</v>
      </c>
      <c r="F31" s="12">
        <f>Forms!H4</f>
        <v>7</v>
      </c>
      <c r="G31" s="12">
        <f>COUNTIF(Forms!$D:$D,"Crucial")</f>
        <v>7</v>
      </c>
      <c r="H31" s="12">
        <f>COUNTIF(Forms!$D:$D,"Important")</f>
        <v>0</v>
      </c>
      <c r="I31" s="12">
        <f>COUNTIF(Forms!$D:$D,"Minimal")</f>
        <v>0</v>
      </c>
    </row>
    <row r="32" spans="2:9" ht="20.100000000000001" customHeight="1" x14ac:dyDescent="0.3">
      <c r="B32" s="11"/>
      <c r="C32" s="12" t="str">
        <f>'Support Data'!F21</f>
        <v>CAD Interface Hazardous Materials</v>
      </c>
      <c r="D32" s="12">
        <f t="shared" si="1"/>
        <v>62</v>
      </c>
      <c r="E32" s="12">
        <f>'Hazardous Materials'!H3</f>
        <v>31</v>
      </c>
      <c r="F32" s="12">
        <f>'Hazardous Materials'!H4</f>
        <v>31</v>
      </c>
      <c r="G32" s="12">
        <f>COUNTIF('Hazardous Materials'!$D:$D,"Crucial")</f>
        <v>0</v>
      </c>
      <c r="H32" s="12">
        <f>COUNTIF('Hazardous Materials'!$D:$D,"Important")</f>
        <v>31</v>
      </c>
      <c r="I32" s="12">
        <f>COUNTIF('Hazardous Materials'!$D:$D,"Minimal")</f>
        <v>0</v>
      </c>
    </row>
    <row r="33" spans="2:9" ht="20.100000000000001" customHeight="1" x14ac:dyDescent="0.3">
      <c r="B33" s="11"/>
      <c r="C33" s="12" t="str">
        <f>'Support Data'!F22</f>
        <v>CAD Interface Logging Recorder</v>
      </c>
      <c r="D33" s="12">
        <f t="shared" si="1"/>
        <v>6</v>
      </c>
      <c r="E33" s="12">
        <f>'Logging Recorder'!H3</f>
        <v>6</v>
      </c>
      <c r="F33" s="12">
        <f>'Logging Recorder'!H4</f>
        <v>6</v>
      </c>
      <c r="G33" s="12">
        <f>COUNTIF('Logging Recorder'!$D:$D,"Crucial")</f>
        <v>0</v>
      </c>
      <c r="H33" s="12">
        <f>COUNTIF('Logging Recorder'!$D:$D,"Important")</f>
        <v>0</v>
      </c>
      <c r="I33" s="12">
        <f>COUNTIF('Logging Recorder'!$D:$D,"Minimal")</f>
        <v>6</v>
      </c>
    </row>
    <row r="34" spans="2:9" ht="20.100000000000001" customHeight="1" x14ac:dyDescent="0.3">
      <c r="B34" s="11"/>
      <c r="C34" s="12" t="str">
        <f>'Support Data'!F23</f>
        <v>CAD Interface NextGen 911</v>
      </c>
      <c r="D34" s="12">
        <f t="shared" si="1"/>
        <v>27</v>
      </c>
      <c r="E34" s="12">
        <f>NextGen!H3</f>
        <v>18</v>
      </c>
      <c r="F34" s="12">
        <f>NextGen!H4</f>
        <v>18</v>
      </c>
      <c r="G34" s="12">
        <f>COUNTIF(NextGen!$D:$D,"Crucial")</f>
        <v>0</v>
      </c>
      <c r="H34" s="12">
        <f>COUNTIF(NextGen!$D:$D,"Important")</f>
        <v>9</v>
      </c>
      <c r="I34" s="12">
        <f>COUNTIF(NextGen!$D:$D,"Minimal")</f>
        <v>9</v>
      </c>
    </row>
    <row r="35" spans="2:9" ht="20.100000000000001" customHeight="1" x14ac:dyDescent="0.3">
      <c r="B35" s="11"/>
      <c r="C35" s="12" t="str">
        <f>'Support Data'!F24</f>
        <v>CAD Interface PSAP Master Clock</v>
      </c>
      <c r="D35" s="12">
        <f t="shared" si="1"/>
        <v>12</v>
      </c>
      <c r="E35" s="12">
        <f>'PSAP Master Clock'!H3</f>
        <v>12</v>
      </c>
      <c r="F35" s="12">
        <f>'PSAP Master Clock'!H4</f>
        <v>12</v>
      </c>
      <c r="G35" s="12">
        <f>COUNTIF('PSAP Master Clock'!$D:$D,"Crucial")</f>
        <v>0</v>
      </c>
      <c r="H35" s="12">
        <f>COUNTIF('PSAP Master Clock'!$D:$D,"Important")</f>
        <v>0</v>
      </c>
      <c r="I35" s="12">
        <f>COUNTIF('PSAP Master Clock'!$D:$D,"Minimal")</f>
        <v>12</v>
      </c>
    </row>
    <row r="36" spans="2:9" ht="20.100000000000001" customHeight="1" x14ac:dyDescent="0.3">
      <c r="B36" s="11"/>
      <c r="C36" s="12" t="str">
        <f>'Support Data'!F25</f>
        <v>CAD Interface Pictometry</v>
      </c>
      <c r="D36" s="12">
        <f t="shared" si="1"/>
        <v>18</v>
      </c>
      <c r="E36" s="12">
        <f>Pictometry!H3</f>
        <v>9</v>
      </c>
      <c r="F36" s="12">
        <f>Pictometry!H4</f>
        <v>9</v>
      </c>
      <c r="G36" s="12">
        <f>COUNTIF(Pictometry!$D:$D,"Crucial")</f>
        <v>0</v>
      </c>
      <c r="H36" s="12">
        <f>COUNTIF(Pictometry!$D:$D,"Important")</f>
        <v>9</v>
      </c>
      <c r="I36" s="12">
        <f>COUNTIF(Pictometry!$D:$D,"Minimal")</f>
        <v>0</v>
      </c>
    </row>
    <row r="37" spans="2:9" ht="20.100000000000001" customHeight="1" x14ac:dyDescent="0.3">
      <c r="B37" s="11"/>
      <c r="C37" s="12" t="str">
        <f>'Support Data'!F26</f>
        <v>CAD Interface Radio System</v>
      </c>
      <c r="D37" s="12">
        <f t="shared" si="1"/>
        <v>122</v>
      </c>
      <c r="E37" s="12">
        <f>'Radio System'!H3</f>
        <v>50</v>
      </c>
      <c r="F37" s="12">
        <f>'Radio System'!H4</f>
        <v>50</v>
      </c>
      <c r="G37" s="12">
        <f>COUNTIF('Radio System'!$D:$D,"Crucial")</f>
        <v>31</v>
      </c>
      <c r="H37" s="12">
        <f>COUNTIF('Radio System'!$D:$D,"Important")</f>
        <v>10</v>
      </c>
      <c r="I37" s="12">
        <f>COUNTIF('Radio System'!$D:$D,"Minimal")</f>
        <v>9</v>
      </c>
    </row>
    <row r="38" spans="2:9" ht="20.100000000000001" customHeight="1" x14ac:dyDescent="0.3">
      <c r="B38" s="11"/>
      <c r="C38" s="12" t="str">
        <f>'Support Data'!F27</f>
        <v>CAD Interface Rip and Run</v>
      </c>
      <c r="D38" s="12">
        <f t="shared" si="1"/>
        <v>27</v>
      </c>
      <c r="E38" s="12">
        <f>'Rip and Run'!H3</f>
        <v>27</v>
      </c>
      <c r="F38" s="12">
        <f>'Rip and Run'!H4</f>
        <v>27</v>
      </c>
      <c r="G38" s="12">
        <f>COUNTIF('Rip and Run'!$D:$D,"Crucial")</f>
        <v>0</v>
      </c>
      <c r="H38" s="12">
        <f>COUNTIF('Rip and Run'!$D:$D,"Important")</f>
        <v>0</v>
      </c>
      <c r="I38" s="12">
        <f>COUNTIF('Rip and Run'!$D:$D,"Minimal")</f>
        <v>27</v>
      </c>
    </row>
    <row r="39" spans="2:9" ht="20.100000000000001" customHeight="1" x14ac:dyDescent="0.3">
      <c r="B39" s="11"/>
      <c r="C39" s="12" t="str">
        <f>'Support Data'!F28</f>
        <v>CAD Interface Staffing</v>
      </c>
      <c r="D39" s="12">
        <f t="shared" si="1"/>
        <v>147</v>
      </c>
      <c r="E39" s="12">
        <f>Staffing!H3</f>
        <v>147</v>
      </c>
      <c r="F39" s="12">
        <f>Staffing!H4</f>
        <v>147</v>
      </c>
      <c r="G39" s="12">
        <f>COUNTIF(Staffing!$D:$D,"Crucial")</f>
        <v>0</v>
      </c>
      <c r="H39" s="12">
        <f>COUNTIF(Staffing!$D:$D,"Important")</f>
        <v>0</v>
      </c>
      <c r="I39" s="12">
        <f>COUNTIF(Staffing!$D:$D,"Minimal")</f>
        <v>147</v>
      </c>
    </row>
    <row r="40" spans="2:9" ht="20.100000000000001" customHeight="1" x14ac:dyDescent="0.3">
      <c r="B40" s="11"/>
      <c r="C40" s="12" t="str">
        <f>'Support Data'!F29</f>
        <v>CAD Interface LE State / NCIC</v>
      </c>
      <c r="D40" s="12">
        <f t="shared" si="1"/>
        <v>132</v>
      </c>
      <c r="E40" s="12">
        <f>'State NCIC Interface'!H3</f>
        <v>48</v>
      </c>
      <c r="F40" s="12">
        <f>'State NCIC Interface'!H4</f>
        <v>48</v>
      </c>
      <c r="G40" s="12">
        <f>COUNTIF('State NCIC Interface'!$D:$D,"Crucial")</f>
        <v>41</v>
      </c>
      <c r="H40" s="12">
        <f>COUNTIF('State NCIC Interface'!$D:$D,"Important")</f>
        <v>2</v>
      </c>
      <c r="I40" s="12">
        <f>COUNTIF('State NCIC Interface'!$D:$D,"Minimal")</f>
        <v>5</v>
      </c>
    </row>
    <row r="41" spans="2:9" ht="20.100000000000001" customHeight="1" x14ac:dyDescent="0.3">
      <c r="B41" s="11"/>
      <c r="C41" s="12" t="str">
        <f>'Support Data'!F30</f>
        <v>CAD Interface TDD / TDY</v>
      </c>
      <c r="D41" s="12">
        <f t="shared" si="1"/>
        <v>20</v>
      </c>
      <c r="E41" s="12">
        <f>'TDD-TTY'!H3</f>
        <v>9</v>
      </c>
      <c r="F41" s="12">
        <f>'TDD-TTY'!H4</f>
        <v>9</v>
      </c>
      <c r="G41" s="12">
        <f>COUNTIF('TDD-TTY'!$D:$D,"Crucial")</f>
        <v>3</v>
      </c>
      <c r="H41" s="12">
        <f>COUNTIF('TDD-TTY'!$D:$D,"Important")</f>
        <v>5</v>
      </c>
      <c r="I41" s="12">
        <f>COUNTIF('TDD-TTY'!$D:$D,"Minimal")</f>
        <v>1</v>
      </c>
    </row>
    <row r="42" spans="2:9" ht="20.100000000000001" customHeight="1" x14ac:dyDescent="0.3">
      <c r="B42" s="11"/>
      <c r="C42" s="12" t="str">
        <f>'Support Data'!F31</f>
        <v>CAD Interface Web CAD</v>
      </c>
      <c r="D42" s="12">
        <f t="shared" si="1"/>
        <v>100</v>
      </c>
      <c r="E42" s="12">
        <f>'Web CAD Interface'!H3</f>
        <v>39</v>
      </c>
      <c r="F42" s="12">
        <f>'Web CAD Interface'!H4</f>
        <v>39</v>
      </c>
      <c r="G42" s="12">
        <f>COUNTIF('Web CAD Interface'!$D:$D,"Crucial")</f>
        <v>23</v>
      </c>
      <c r="H42" s="12">
        <f>COUNTIF('Web CAD Interface'!$D:$D,"Important")</f>
        <v>15</v>
      </c>
      <c r="I42" s="12">
        <f>COUNTIF('Web CAD Interface'!$D:$D,"Minimal")</f>
        <v>1</v>
      </c>
    </row>
    <row r="43" spans="2:9" ht="3.75" customHeight="1" x14ac:dyDescent="0.3">
      <c r="B43" s="23"/>
      <c r="C43" s="12"/>
      <c r="D43" s="23"/>
      <c r="E43" s="23"/>
      <c r="F43" s="23"/>
      <c r="G43" s="23"/>
      <c r="H43" s="23"/>
      <c r="I43" s="23"/>
    </row>
    <row r="44" spans="2:9" s="9" customFormat="1" ht="43.5" customHeight="1" x14ac:dyDescent="0.3">
      <c r="B44" s="10" t="s">
        <v>4</v>
      </c>
      <c r="C44" s="10" t="s">
        <v>5</v>
      </c>
      <c r="D44" s="10" t="s">
        <v>14</v>
      </c>
      <c r="E44" s="10" t="s">
        <v>7</v>
      </c>
      <c r="F44" s="10" t="s">
        <v>8</v>
      </c>
      <c r="G44" s="10" t="s">
        <v>15</v>
      </c>
      <c r="H44" s="10" t="s">
        <v>16</v>
      </c>
      <c r="I44" s="10" t="s">
        <v>17</v>
      </c>
    </row>
    <row r="45" spans="2:9" ht="20.100000000000001" customHeight="1" x14ac:dyDescent="0.3">
      <c r="B45" s="11" t="str">
        <f>B15</f>
        <v>INTERFACES</v>
      </c>
      <c r="C45" s="12"/>
      <c r="D45" s="12">
        <f>SUM(D46:D72)</f>
        <v>0</v>
      </c>
      <c r="E45" s="12">
        <f t="shared" ref="E45:I45" si="2">SUM(E46:E72)</f>
        <v>979</v>
      </c>
      <c r="F45" s="12">
        <f t="shared" si="2"/>
        <v>979</v>
      </c>
      <c r="G45" s="12">
        <f t="shared" si="2"/>
        <v>0</v>
      </c>
      <c r="H45" s="12">
        <f t="shared" si="2"/>
        <v>0</v>
      </c>
      <c r="I45" s="12">
        <f t="shared" si="2"/>
        <v>0</v>
      </c>
    </row>
    <row r="46" spans="2:9" ht="20.100000000000001" customHeight="1" x14ac:dyDescent="0.3">
      <c r="B46" s="11"/>
      <c r="C46" s="12" t="str">
        <f t="shared" ref="C46:C72" si="3">C16</f>
        <v>CAD Interface General Requirements</v>
      </c>
      <c r="D46" s="12">
        <f>'General Interface'!K3</f>
        <v>0</v>
      </c>
      <c r="E46" s="12">
        <f>'General Interface'!H3</f>
        <v>39</v>
      </c>
      <c r="F46" s="12">
        <f>'General Interface'!H4</f>
        <v>39</v>
      </c>
      <c r="G46" s="12">
        <f>'General Interface'!H5</f>
        <v>0</v>
      </c>
      <c r="H46" s="12">
        <f>'General Interface'!H6</f>
        <v>0</v>
      </c>
      <c r="I46" s="12">
        <f>'General Interface'!$H7</f>
        <v>0</v>
      </c>
    </row>
    <row r="47" spans="2:9" ht="20.100000000000001" customHeight="1" x14ac:dyDescent="0.3">
      <c r="B47" s="11"/>
      <c r="C47" s="12" t="str">
        <f t="shared" si="3"/>
        <v>CAD Interface Alarm Monitoring</v>
      </c>
      <c r="D47" s="12">
        <f>'Alarm Monitoring'!K3</f>
        <v>0</v>
      </c>
      <c r="E47" s="12">
        <f>'Alarm Monitoring'!H3</f>
        <v>9</v>
      </c>
      <c r="F47" s="12">
        <f>'Alarm Monitoring'!H4</f>
        <v>9</v>
      </c>
      <c r="G47" s="12">
        <f>'Alarm Monitoring'!H5</f>
        <v>0</v>
      </c>
      <c r="H47" s="12">
        <f>'Alarm Monitoring'!H6</f>
        <v>0</v>
      </c>
      <c r="I47" s="12">
        <f>'Alarm Monitoring'!H7</f>
        <v>0</v>
      </c>
    </row>
    <row r="48" spans="2:9" ht="20.100000000000001" customHeight="1" x14ac:dyDescent="0.3">
      <c r="B48" s="11"/>
      <c r="C48" s="12" t="str">
        <f t="shared" si="3"/>
        <v>CAD Interface Alarm Tracking and Billing</v>
      </c>
      <c r="D48" s="12">
        <f>'Alarm Tracking and Billing'!K3</f>
        <v>0</v>
      </c>
      <c r="E48" s="12">
        <f>'Alarm Tracking and Billing'!H3</f>
        <v>8</v>
      </c>
      <c r="F48" s="12">
        <f>'Alarm Tracking and Billing'!H4</f>
        <v>8</v>
      </c>
      <c r="G48" s="12">
        <f>'Alarm Tracking and Billing'!H5</f>
        <v>0</v>
      </c>
      <c r="H48" s="12">
        <f>'Alarm Tracking and Billing'!H6</f>
        <v>0</v>
      </c>
      <c r="I48" s="12">
        <f>'Alarm Tracking and Billing'!H7</f>
        <v>0</v>
      </c>
    </row>
    <row r="49" spans="2:9" ht="20.100000000000001" customHeight="1" x14ac:dyDescent="0.3">
      <c r="B49" s="11"/>
      <c r="C49" s="12" t="str">
        <f t="shared" si="3"/>
        <v>CAD Interface Alerting</v>
      </c>
      <c r="D49" s="12">
        <f>'Alerting Interface'!K3</f>
        <v>0</v>
      </c>
      <c r="E49" s="12">
        <f>'Alerting Interface'!H3</f>
        <v>46</v>
      </c>
      <c r="F49" s="12">
        <f>'Alerting Interface'!H4</f>
        <v>46</v>
      </c>
      <c r="G49" s="12">
        <f>'Alerting Interface'!H6</f>
        <v>0</v>
      </c>
      <c r="H49" s="12">
        <f>'Alerting Interface'!H7</f>
        <v>0</v>
      </c>
      <c r="I49" s="12">
        <f>'Alerting Interface'!H8</f>
        <v>0</v>
      </c>
    </row>
    <row r="50" spans="2:9" ht="20.100000000000001" customHeight="1" x14ac:dyDescent="0.3">
      <c r="B50" s="11"/>
      <c r="C50" s="12" t="str">
        <f t="shared" si="3"/>
        <v>CAD Interface Alphanumeric / Text Paging</v>
      </c>
      <c r="D50" s="12">
        <f>'Alpha-Text Paging Interface'!K3</f>
        <v>0</v>
      </c>
      <c r="E50" s="12">
        <f>'Alpha-Text Paging Interface'!H3</f>
        <v>46</v>
      </c>
      <c r="F50" s="12">
        <f>'Alpha-Text Paging Interface'!H4</f>
        <v>46</v>
      </c>
      <c r="G50" s="12">
        <f>'Alpha-Text Paging Interface'!H6</f>
        <v>0</v>
      </c>
      <c r="H50" s="12">
        <f>'Alpha-Text Paging Interface'!H7</f>
        <v>0</v>
      </c>
      <c r="I50" s="12">
        <f>'Alpha-Text Paging Interface'!H8</f>
        <v>0</v>
      </c>
    </row>
    <row r="51" spans="2:9" ht="20.100000000000001" customHeight="1" x14ac:dyDescent="0.3">
      <c r="B51" s="11"/>
      <c r="C51" s="12" t="str">
        <f t="shared" si="3"/>
        <v>CAD Interface AVL</v>
      </c>
      <c r="D51" s="12">
        <f>'AVL Interface'!K3</f>
        <v>0</v>
      </c>
      <c r="E51" s="12">
        <f>'AVL Interface'!H3</f>
        <v>28</v>
      </c>
      <c r="F51" s="12">
        <f>'AVL Interface'!H4</f>
        <v>28</v>
      </c>
      <c r="G51" s="12">
        <f>'AVL Interface'!H5</f>
        <v>0</v>
      </c>
      <c r="H51" s="12">
        <f>'AVL Interface'!H6</f>
        <v>0</v>
      </c>
      <c r="I51" s="12">
        <f>'AVL Interface'!H7</f>
        <v>0</v>
      </c>
    </row>
    <row r="52" spans="2:9" ht="20.100000000000001" customHeight="1" x14ac:dyDescent="0.3">
      <c r="B52" s="11"/>
      <c r="C52" s="12" t="str">
        <f t="shared" si="3"/>
        <v>CAD Interface Dynamic Radio Re-Grouping</v>
      </c>
      <c r="D52" s="12">
        <f>'Dynamic Radio Re-Grouping'!K3</f>
        <v>0</v>
      </c>
      <c r="E52" s="12">
        <f>'Dynamic Radio Re-Grouping'!H3</f>
        <v>6</v>
      </c>
      <c r="F52" s="12">
        <f>'Dynamic Radio Re-Grouping'!H4</f>
        <v>6</v>
      </c>
      <c r="G52" s="12">
        <f>'Dynamic Radio Re-Grouping'!H5</f>
        <v>0</v>
      </c>
      <c r="H52" s="12">
        <f>'Dynamic Radio Re-Grouping'!H6</f>
        <v>0</v>
      </c>
      <c r="I52" s="12">
        <f>'Dynamic Radio Re-Grouping'!H7</f>
        <v>0</v>
      </c>
    </row>
    <row r="53" spans="2:9" ht="20.100000000000001" customHeight="1" x14ac:dyDescent="0.3">
      <c r="B53" s="11"/>
      <c r="C53" s="12" t="str">
        <f t="shared" si="3"/>
        <v>CAD Interface CAD2CAD</v>
      </c>
      <c r="D53" s="12">
        <f>CAD2CAD!K3</f>
        <v>0</v>
      </c>
      <c r="E53" s="12">
        <f>CAD2CAD!H3</f>
        <v>30</v>
      </c>
      <c r="F53" s="12">
        <f>CAD2CAD!H4</f>
        <v>30</v>
      </c>
      <c r="G53" s="12">
        <f>CAD2CAD!H6</f>
        <v>0</v>
      </c>
      <c r="H53" s="12">
        <f>CAD2CAD!H8</f>
        <v>0</v>
      </c>
      <c r="I53" s="12">
        <f>CAD2CAD!H9</f>
        <v>0</v>
      </c>
    </row>
    <row r="54" spans="2:9" ht="20.100000000000001" customHeight="1" x14ac:dyDescent="0.3">
      <c r="B54" s="11"/>
      <c r="C54" s="12" t="str">
        <f t="shared" si="3"/>
        <v>CAD Interface Dynamic LiveScan Module</v>
      </c>
      <c r="D54" s="12">
        <f>'LiveScan Module'!K3</f>
        <v>0</v>
      </c>
      <c r="E54" s="12">
        <f>'LiveScan Module'!H3</f>
        <v>7</v>
      </c>
      <c r="F54" s="12">
        <f>'LiveScan Module'!H4</f>
        <v>7</v>
      </c>
      <c r="G54" s="12">
        <f>'LiveScan Module'!H5</f>
        <v>0</v>
      </c>
      <c r="H54" s="12">
        <f>'LiveScan Module'!H6</f>
        <v>0</v>
      </c>
      <c r="I54" s="12">
        <f>'LiveScan Module'!H7</f>
        <v>0</v>
      </c>
    </row>
    <row r="55" spans="2:9" ht="19.2" customHeight="1" x14ac:dyDescent="0.3">
      <c r="B55" s="11"/>
      <c r="C55" s="12" t="str">
        <f t="shared" si="3"/>
        <v>CAD Dispatch Protocol Software</v>
      </c>
      <c r="D55" s="12">
        <f>'Dispatch Protocol Software'!K3</f>
        <v>0</v>
      </c>
      <c r="E55" s="12">
        <f>'Dispatch Protocol Software'!H3</f>
        <v>44</v>
      </c>
      <c r="F55" s="12">
        <f>'Dispatch Protocol Software'!H4</f>
        <v>44</v>
      </c>
      <c r="G55" s="12">
        <f>'Dispatch Protocol Software'!H5</f>
        <v>0</v>
      </c>
      <c r="H55" s="12">
        <f>'Dispatch Protocol Software'!H6</f>
        <v>0</v>
      </c>
      <c r="I55" s="12">
        <f>'Dispatch Protocol Software'!H8</f>
        <v>0</v>
      </c>
    </row>
    <row r="56" spans="2:9" ht="19.2" customHeight="1" x14ac:dyDescent="0.3">
      <c r="B56" s="11"/>
      <c r="C56" s="12" t="str">
        <f t="shared" si="3"/>
        <v>CAD Interface E9-1-1</v>
      </c>
      <c r="D56" s="12">
        <f>'E9-1-1 Interface'!K3</f>
        <v>0</v>
      </c>
      <c r="E56" s="12">
        <f>'E9-1-1 Interface'!H3</f>
        <v>19</v>
      </c>
      <c r="F56" s="12">
        <f>'E9-1-1 Interface'!H4</f>
        <v>19</v>
      </c>
      <c r="G56" s="12">
        <f>'E9-1-1 Interface'!H5</f>
        <v>0</v>
      </c>
      <c r="H56" s="12">
        <f>'E9-1-1 Interface'!H6</f>
        <v>0</v>
      </c>
      <c r="I56" s="12">
        <f>'E9-1-1 Interface'!H7</f>
        <v>0</v>
      </c>
    </row>
    <row r="57" spans="2:9" ht="19.2" customHeight="1" x14ac:dyDescent="0.3">
      <c r="B57" s="11"/>
      <c r="C57" s="12" t="str">
        <f t="shared" si="3"/>
        <v>CAD Interface Emergency Notification System</v>
      </c>
      <c r="D57" s="12">
        <f>'Emergency Notification System'!K3</f>
        <v>0</v>
      </c>
      <c r="E57" s="12">
        <f>'Emergency Notification System'!H3</f>
        <v>11</v>
      </c>
      <c r="F57" s="12">
        <f>'Emergency Notification System'!H4</f>
        <v>11</v>
      </c>
      <c r="G57" s="12">
        <f>'Emergency Notification System'!H5</f>
        <v>0</v>
      </c>
      <c r="H57" s="12">
        <f>'Emergency Notification System'!H7</f>
        <v>0</v>
      </c>
      <c r="I57" s="12">
        <f>'Emergency Notification System'!H8</f>
        <v>0</v>
      </c>
    </row>
    <row r="58" spans="2:9" ht="19.2" customHeight="1" x14ac:dyDescent="0.3">
      <c r="B58" s="11"/>
      <c r="C58" s="12" t="str">
        <f t="shared" si="3"/>
        <v>CAD Interface ePCR</v>
      </c>
      <c r="D58" s="12">
        <f>ePCR!K3</f>
        <v>0</v>
      </c>
      <c r="E58" s="12">
        <f>ePCR!H3</f>
        <v>200</v>
      </c>
      <c r="F58" s="12">
        <f>ePCR!H4</f>
        <v>200</v>
      </c>
      <c r="G58" s="12">
        <f>ePCR!H5</f>
        <v>0</v>
      </c>
      <c r="H58" s="12">
        <f>ePCR!H6</f>
        <v>0</v>
      </c>
      <c r="I58" s="12">
        <f>ePCR!H7</f>
        <v>0</v>
      </c>
    </row>
    <row r="59" spans="2:9" ht="19.2" customHeight="1" x14ac:dyDescent="0.3">
      <c r="B59" s="11"/>
      <c r="C59" s="12" t="str">
        <f t="shared" si="3"/>
        <v>CAD Interface External Databases</v>
      </c>
      <c r="D59" s="12">
        <f>'External Databases'!K3</f>
        <v>0</v>
      </c>
      <c r="E59" s="12">
        <f>'External Databases'!H3</f>
        <v>62</v>
      </c>
      <c r="F59" s="12">
        <f>'External Databases'!H4</f>
        <v>62</v>
      </c>
      <c r="G59" s="12">
        <f>'External Databases'!H6</f>
        <v>0</v>
      </c>
      <c r="H59" s="12">
        <f>'External Databases'!H7</f>
        <v>0</v>
      </c>
      <c r="I59" s="12">
        <f>'External Databases'!H8</f>
        <v>0</v>
      </c>
    </row>
    <row r="60" spans="2:9" ht="19.2" customHeight="1" x14ac:dyDescent="0.3">
      <c r="B60" s="11"/>
      <c r="C60" s="12" t="str">
        <f t="shared" si="3"/>
        <v>CAD Interface Firehouse Software</v>
      </c>
      <c r="D60" s="12">
        <f>FRMS!K3</f>
        <v>0</v>
      </c>
      <c r="E60" s="12">
        <f>FRMS!H3</f>
        <v>21</v>
      </c>
      <c r="F60" s="12">
        <f>FRMS!H4</f>
        <v>21</v>
      </c>
      <c r="G60" s="12">
        <f>FRMS!H5</f>
        <v>0</v>
      </c>
      <c r="H60" s="12">
        <f>FRMS!H6</f>
        <v>0</v>
      </c>
      <c r="I60" s="12">
        <f>FRMS!H7</f>
        <v>0</v>
      </c>
    </row>
    <row r="61" spans="2:9" ht="19.2" customHeight="1" x14ac:dyDescent="0.3">
      <c r="B61" s="11"/>
      <c r="C61" s="12" t="str">
        <f t="shared" si="3"/>
        <v>CAD Interface Forms/Report Writing Tool</v>
      </c>
      <c r="D61" s="12">
        <f>Forms!K3</f>
        <v>0</v>
      </c>
      <c r="E61" s="12">
        <f>Forms!H3</f>
        <v>7</v>
      </c>
      <c r="F61" s="12">
        <f>Forms!H4</f>
        <v>7</v>
      </c>
      <c r="G61" s="12">
        <f>Forms!H5</f>
        <v>0</v>
      </c>
      <c r="H61" s="12">
        <f>Forms!H6</f>
        <v>0</v>
      </c>
      <c r="I61" s="12">
        <f>Forms!H7</f>
        <v>0</v>
      </c>
    </row>
    <row r="62" spans="2:9" ht="19.2" customHeight="1" x14ac:dyDescent="0.3">
      <c r="B62" s="11"/>
      <c r="C62" s="12" t="str">
        <f t="shared" si="3"/>
        <v>CAD Interface Hazardous Materials</v>
      </c>
      <c r="D62" s="12">
        <f>'Hazardous Materials'!K3</f>
        <v>0</v>
      </c>
      <c r="E62" s="12">
        <f>'Hazardous Materials'!H3</f>
        <v>31</v>
      </c>
      <c r="F62" s="12">
        <f>'Hazardous Materials'!H4</f>
        <v>31</v>
      </c>
      <c r="G62" s="12">
        <f>'Hazardous Materials'!H5</f>
        <v>0</v>
      </c>
      <c r="H62" s="12">
        <f>'Hazardous Materials'!H6</f>
        <v>0</v>
      </c>
      <c r="I62" s="12">
        <f>'Hazardous Materials'!H8</f>
        <v>0</v>
      </c>
    </row>
    <row r="63" spans="2:9" ht="19.2" customHeight="1" x14ac:dyDescent="0.3">
      <c r="B63" s="11"/>
      <c r="C63" s="12" t="str">
        <f t="shared" si="3"/>
        <v>CAD Interface Logging Recorder</v>
      </c>
      <c r="D63" s="12">
        <f>'Logging Recorder'!K3</f>
        <v>0</v>
      </c>
      <c r="E63" s="12">
        <f>'Logging Recorder'!H3</f>
        <v>6</v>
      </c>
      <c r="F63" s="12">
        <f>'Logging Recorder'!H4</f>
        <v>6</v>
      </c>
      <c r="G63" s="12">
        <f>'Logging Recorder'!H5</f>
        <v>0</v>
      </c>
      <c r="H63" s="12">
        <f>'Logging Recorder'!H6</f>
        <v>0</v>
      </c>
      <c r="I63" s="12">
        <f>'Logging Recorder'!H7</f>
        <v>0</v>
      </c>
    </row>
    <row r="64" spans="2:9" ht="19.2" customHeight="1" x14ac:dyDescent="0.3">
      <c r="B64" s="11"/>
      <c r="C64" s="12" t="str">
        <f t="shared" si="3"/>
        <v>CAD Interface NextGen 911</v>
      </c>
      <c r="D64" s="12">
        <f>NextGen!K3</f>
        <v>0</v>
      </c>
      <c r="E64" s="12">
        <f>NextGen!H3</f>
        <v>18</v>
      </c>
      <c r="F64" s="12">
        <f>NextGen!H4</f>
        <v>18</v>
      </c>
      <c r="G64" s="12">
        <f>NextGen!H5</f>
        <v>0</v>
      </c>
      <c r="H64" s="12">
        <f>NextGen!H6</f>
        <v>0</v>
      </c>
      <c r="I64" s="12">
        <f>NextGen!H7</f>
        <v>0</v>
      </c>
    </row>
    <row r="65" spans="2:9" ht="19.2" customHeight="1" x14ac:dyDescent="0.3">
      <c r="B65" s="11"/>
      <c r="C65" s="12" t="str">
        <f t="shared" si="3"/>
        <v>CAD Interface PSAP Master Clock</v>
      </c>
      <c r="D65" s="12">
        <f>'PSAP Master Clock'!K3</f>
        <v>0</v>
      </c>
      <c r="E65" s="12">
        <f>'PSAP Master Clock'!H3</f>
        <v>12</v>
      </c>
      <c r="F65" s="12">
        <f>'PSAP Master Clock'!H4</f>
        <v>12</v>
      </c>
      <c r="G65" s="12">
        <f>'PSAP Master Clock'!H5</f>
        <v>0</v>
      </c>
      <c r="H65" s="12">
        <f>'PSAP Master Clock'!H6</f>
        <v>0</v>
      </c>
      <c r="I65" s="12">
        <f>'PSAP Master Clock'!H7</f>
        <v>0</v>
      </c>
    </row>
    <row r="66" spans="2:9" ht="19.2" customHeight="1" x14ac:dyDescent="0.3">
      <c r="B66" s="11"/>
      <c r="C66" s="12" t="str">
        <f t="shared" si="3"/>
        <v>CAD Interface Pictometry</v>
      </c>
      <c r="D66" s="12">
        <f>Pictometry!K3</f>
        <v>0</v>
      </c>
      <c r="E66" s="12">
        <f>Pictometry!H3</f>
        <v>9</v>
      </c>
      <c r="F66" s="12">
        <f>Pictometry!H4</f>
        <v>9</v>
      </c>
      <c r="G66" s="12">
        <f>Pictometry!H5</f>
        <v>0</v>
      </c>
      <c r="H66" s="12">
        <f>Pictometry!H6</f>
        <v>0</v>
      </c>
      <c r="I66" s="12">
        <f>Pictometry!H7</f>
        <v>0</v>
      </c>
    </row>
    <row r="67" spans="2:9" ht="19.2" customHeight="1" x14ac:dyDescent="0.3">
      <c r="B67" s="11"/>
      <c r="C67" s="12" t="str">
        <f t="shared" si="3"/>
        <v>CAD Interface Radio System</v>
      </c>
      <c r="D67" s="12">
        <f>'Radio System'!K3</f>
        <v>0</v>
      </c>
      <c r="E67" s="12">
        <f>'Radio System'!H3</f>
        <v>50</v>
      </c>
      <c r="F67" s="12">
        <f>'Radio System'!H4</f>
        <v>50</v>
      </c>
      <c r="G67" s="12">
        <f>'Radio System'!H5</f>
        <v>0</v>
      </c>
      <c r="H67" s="12">
        <f>'Radio System'!H7</f>
        <v>0</v>
      </c>
      <c r="I67" s="12">
        <f>'Radio System'!H8</f>
        <v>0</v>
      </c>
    </row>
    <row r="68" spans="2:9" ht="19.2" customHeight="1" x14ac:dyDescent="0.3">
      <c r="B68" s="11"/>
      <c r="C68" s="12" t="str">
        <f t="shared" si="3"/>
        <v>CAD Interface Rip and Run</v>
      </c>
      <c r="D68" s="12">
        <f>'Rip and Run'!K3</f>
        <v>0</v>
      </c>
      <c r="E68" s="12">
        <f>'Rip and Run'!H3</f>
        <v>27</v>
      </c>
      <c r="F68" s="12">
        <f>'Rip and Run'!H4</f>
        <v>27</v>
      </c>
      <c r="G68" s="12">
        <f>'Rip and Run'!H5</f>
        <v>0</v>
      </c>
      <c r="H68" s="12">
        <f>'Rip and Run'!H6</f>
        <v>0</v>
      </c>
      <c r="I68" s="12">
        <f>'Rip and Run'!H8</f>
        <v>0</v>
      </c>
    </row>
    <row r="69" spans="2:9" ht="19.2" customHeight="1" x14ac:dyDescent="0.3">
      <c r="B69" s="11"/>
      <c r="C69" s="12" t="str">
        <f t="shared" si="3"/>
        <v>CAD Interface Staffing</v>
      </c>
      <c r="D69" s="12">
        <f>Staffing!K3</f>
        <v>0</v>
      </c>
      <c r="E69" s="12">
        <f>Staffing!H3</f>
        <v>147</v>
      </c>
      <c r="F69" s="12">
        <f>Staffing!H4</f>
        <v>147</v>
      </c>
      <c r="G69" s="12">
        <f>Staffing!H5</f>
        <v>0</v>
      </c>
      <c r="H69" s="12">
        <f>Staffing!H6</f>
        <v>0</v>
      </c>
      <c r="I69" s="12">
        <f>Staffing!H7</f>
        <v>0</v>
      </c>
    </row>
    <row r="70" spans="2:9" ht="19.2" customHeight="1" x14ac:dyDescent="0.3">
      <c r="B70" s="11"/>
      <c r="C70" s="12" t="str">
        <f t="shared" si="3"/>
        <v>CAD Interface LE State / NCIC</v>
      </c>
      <c r="D70" s="12">
        <f>'State NCIC Interface'!K3</f>
        <v>0</v>
      </c>
      <c r="E70" s="12">
        <f>'State NCIC Interface'!H3</f>
        <v>48</v>
      </c>
      <c r="F70" s="12">
        <f>'State NCIC Interface'!H4</f>
        <v>48</v>
      </c>
      <c r="G70" s="12">
        <f>'State NCIC Interface'!H5</f>
        <v>0</v>
      </c>
      <c r="H70" s="12">
        <f>'State NCIC Interface'!H6</f>
        <v>0</v>
      </c>
      <c r="I70" s="12">
        <f>'State NCIC Interface'!H7</f>
        <v>0</v>
      </c>
    </row>
    <row r="71" spans="2:9" ht="19.2" customHeight="1" x14ac:dyDescent="0.3">
      <c r="B71" s="11"/>
      <c r="C71" s="12" t="str">
        <f t="shared" si="3"/>
        <v>CAD Interface TDD / TDY</v>
      </c>
      <c r="D71" s="12">
        <f>'TDD-TTY'!K3</f>
        <v>0</v>
      </c>
      <c r="E71" s="12">
        <f>'TDD-TTY'!H3</f>
        <v>9</v>
      </c>
      <c r="F71" s="12">
        <f>'TDD-TTY'!H4</f>
        <v>9</v>
      </c>
      <c r="G71" s="12">
        <f>'TDD-TTY'!H5</f>
        <v>0</v>
      </c>
      <c r="H71" s="12">
        <f>'TDD-TTY'!H6</f>
        <v>0</v>
      </c>
      <c r="I71" s="12">
        <f>'TDD-TTY'!H7</f>
        <v>0</v>
      </c>
    </row>
    <row r="72" spans="2:9" ht="19.2" customHeight="1" x14ac:dyDescent="0.3">
      <c r="B72" s="11"/>
      <c r="C72" s="12" t="str">
        <f t="shared" si="3"/>
        <v>CAD Interface Web CAD</v>
      </c>
      <c r="D72" s="12">
        <f>'Web CAD Interface'!K3</f>
        <v>0</v>
      </c>
      <c r="E72" s="12">
        <f>'Web CAD Interface'!H3</f>
        <v>39</v>
      </c>
      <c r="F72" s="12">
        <f>'Web CAD Interface'!H4</f>
        <v>39</v>
      </c>
      <c r="G72" s="12">
        <f>'Web CAD Interface'!H5</f>
        <v>0</v>
      </c>
      <c r="H72" s="12">
        <f>'Web CAD Interface'!H6</f>
        <v>0</v>
      </c>
      <c r="I72" s="12">
        <f>'Web CAD Interface'!H7</f>
        <v>0</v>
      </c>
    </row>
    <row r="73" spans="2:9" ht="3.75" customHeight="1" x14ac:dyDescent="0.3">
      <c r="B73" s="23"/>
      <c r="C73" s="23"/>
      <c r="D73" s="23"/>
      <c r="E73" s="23"/>
      <c r="F73" s="23"/>
      <c r="G73" s="23"/>
      <c r="H73" s="23"/>
      <c r="I73" s="23"/>
    </row>
    <row r="74" spans="2:9" s="9" customFormat="1" ht="43.5" customHeight="1" x14ac:dyDescent="0.3">
      <c r="B74" s="10" t="s">
        <v>4</v>
      </c>
      <c r="C74" s="10" t="s">
        <v>5</v>
      </c>
      <c r="D74" s="10" t="s">
        <v>14</v>
      </c>
      <c r="E74" s="10" t="s">
        <v>19</v>
      </c>
      <c r="F74" s="10" t="s">
        <v>20</v>
      </c>
      <c r="G74" s="10" t="s">
        <v>21</v>
      </c>
      <c r="H74" s="10" t="s">
        <v>22</v>
      </c>
      <c r="I74" s="10" t="s">
        <v>23</v>
      </c>
    </row>
    <row r="75" spans="2:9" ht="20.100000000000001" customHeight="1" x14ac:dyDescent="0.3">
      <c r="B75" s="11" t="str">
        <f>B15</f>
        <v>INTERFACES</v>
      </c>
      <c r="C75" s="12"/>
      <c r="D75" s="12">
        <f>SUM(D76:D102)</f>
        <v>0</v>
      </c>
      <c r="E75" s="12">
        <f t="shared" ref="E75:I75" si="4">SUM(E76:E102)</f>
        <v>258</v>
      </c>
      <c r="F75" s="12">
        <f t="shared" si="4"/>
        <v>258</v>
      </c>
      <c r="G75" s="12">
        <f t="shared" si="4"/>
        <v>0</v>
      </c>
      <c r="H75" s="12">
        <f t="shared" si="4"/>
        <v>0</v>
      </c>
      <c r="I75" s="12">
        <f t="shared" si="4"/>
        <v>0</v>
      </c>
    </row>
    <row r="76" spans="2:9" ht="20.100000000000001" customHeight="1" x14ac:dyDescent="0.3">
      <c r="B76" s="11"/>
      <c r="C76" s="12" t="str">
        <f t="shared" ref="C76:C102" si="5">C16</f>
        <v>CAD Interface General Requirements</v>
      </c>
      <c r="D76" s="12">
        <f>G76*3</f>
        <v>0</v>
      </c>
      <c r="E76" s="12">
        <f>COUNTIF('General Interface'!$D:$D,"Crucial")</f>
        <v>22</v>
      </c>
      <c r="F76" s="12">
        <f>'General Interface'!H8</f>
        <v>22</v>
      </c>
      <c r="G76" s="12">
        <f>'General Interface'!H9</f>
        <v>0</v>
      </c>
      <c r="H76" s="12">
        <f>'General Interface'!H10</f>
        <v>0</v>
      </c>
      <c r="I76" s="12">
        <f>'General Interface'!H11</f>
        <v>0</v>
      </c>
    </row>
    <row r="77" spans="2:9" ht="20.100000000000001" customHeight="1" x14ac:dyDescent="0.3">
      <c r="B77" s="11"/>
      <c r="C77" s="12" t="str">
        <f t="shared" si="5"/>
        <v>CAD Interface Alarm Monitoring</v>
      </c>
      <c r="D77" s="12">
        <f t="shared" ref="D77:D102" si="6">G77*3</f>
        <v>0</v>
      </c>
      <c r="E77" s="12">
        <f>COUNTIF('Alarm Monitoring'!$D:$D,"Crucial")</f>
        <v>0</v>
      </c>
      <c r="F77" s="12">
        <f>'Alarm Monitoring'!H8</f>
        <v>0</v>
      </c>
      <c r="G77" s="12">
        <f>'Alarm Monitoring'!H9</f>
        <v>0</v>
      </c>
      <c r="H77" s="12">
        <f>'Alarm Monitoring'!H10</f>
        <v>0</v>
      </c>
      <c r="I77" s="12">
        <f>'Alarm Monitoring'!H11</f>
        <v>0</v>
      </c>
    </row>
    <row r="78" spans="2:9" ht="20.100000000000001" customHeight="1" x14ac:dyDescent="0.3">
      <c r="B78" s="11"/>
      <c r="C78" s="12" t="str">
        <f t="shared" si="5"/>
        <v>CAD Interface Alarm Tracking and Billing</v>
      </c>
      <c r="D78" s="12">
        <f t="shared" si="6"/>
        <v>0</v>
      </c>
      <c r="E78" s="12">
        <f>COUNTIF('Alarm Tracking and Billing'!$D:$D,"Crucial")</f>
        <v>0</v>
      </c>
      <c r="F78" s="12">
        <f>'Alarm Tracking and Billing'!H8</f>
        <v>0</v>
      </c>
      <c r="G78" s="12">
        <f>'Alarm Tracking and Billing'!H9</f>
        <v>0</v>
      </c>
      <c r="H78" s="12">
        <f>'Alarm Tracking and Billing'!H10</f>
        <v>0</v>
      </c>
      <c r="I78" s="12">
        <f>'Alarm Tracking and Billing'!H11</f>
        <v>0</v>
      </c>
    </row>
    <row r="79" spans="2:9" ht="20.100000000000001" customHeight="1" x14ac:dyDescent="0.3">
      <c r="B79" s="11"/>
      <c r="C79" s="12" t="str">
        <f t="shared" si="5"/>
        <v>CAD Interface Alerting</v>
      </c>
      <c r="D79" s="12">
        <f t="shared" si="6"/>
        <v>0</v>
      </c>
      <c r="E79" s="12">
        <f>COUNTIF('Alerting Interface'!$D:$D,"Crucial")</f>
        <v>42</v>
      </c>
      <c r="F79" s="12">
        <f>'Alerting Interface'!H9</f>
        <v>42</v>
      </c>
      <c r="G79" s="12">
        <f>'Alerting Interface'!H10</f>
        <v>0</v>
      </c>
      <c r="H79" s="12">
        <f>'Alerting Interface'!H11</f>
        <v>0</v>
      </c>
      <c r="I79" s="12">
        <f>'Alerting Interface'!H12</f>
        <v>0</v>
      </c>
    </row>
    <row r="80" spans="2:9" ht="20.100000000000001" customHeight="1" x14ac:dyDescent="0.3">
      <c r="B80" s="11"/>
      <c r="C80" s="12" t="str">
        <f t="shared" si="5"/>
        <v>CAD Interface Alphanumeric / Text Paging</v>
      </c>
      <c r="D80" s="12">
        <f t="shared" si="6"/>
        <v>0</v>
      </c>
      <c r="E80" s="12">
        <f>COUNTIF('Alpha-Text Paging Interface'!$D:$D,"Crucial")</f>
        <v>4</v>
      </c>
      <c r="F80" s="12">
        <f>'Alpha-Text Paging Interface'!H9</f>
        <v>4</v>
      </c>
      <c r="G80" s="12">
        <f>'Alpha-Text Paging Interface'!H10</f>
        <v>0</v>
      </c>
      <c r="H80" s="12">
        <f>'Alpha-Text Paging Interface'!H11</f>
        <v>0</v>
      </c>
      <c r="I80" s="12">
        <f>'Alpha-Text Paging Interface'!H12</f>
        <v>0</v>
      </c>
    </row>
    <row r="81" spans="2:9" ht="20.100000000000001" customHeight="1" x14ac:dyDescent="0.3">
      <c r="B81" s="11"/>
      <c r="C81" s="12" t="str">
        <f t="shared" si="5"/>
        <v>CAD Interface AVL</v>
      </c>
      <c r="D81" s="12">
        <f t="shared" si="6"/>
        <v>0</v>
      </c>
      <c r="E81" s="12">
        <f>COUNTIF('AVL Interface'!$D:$D,"Crucial")</f>
        <v>16</v>
      </c>
      <c r="F81" s="12">
        <f>'AVL Interface'!H8</f>
        <v>16</v>
      </c>
      <c r="G81" s="12">
        <f>'AVL Interface'!H9</f>
        <v>0</v>
      </c>
      <c r="H81" s="12">
        <f>'AVL Interface'!H10</f>
        <v>0</v>
      </c>
      <c r="I81" s="12">
        <f>'AVL Interface'!H11</f>
        <v>0</v>
      </c>
    </row>
    <row r="82" spans="2:9" ht="20.100000000000001" customHeight="1" x14ac:dyDescent="0.3">
      <c r="B82" s="11"/>
      <c r="C82" s="12" t="str">
        <f t="shared" si="5"/>
        <v>CAD Interface Dynamic Radio Re-Grouping</v>
      </c>
      <c r="D82" s="12">
        <f t="shared" si="6"/>
        <v>0</v>
      </c>
      <c r="E82" s="12">
        <f>COUNTIF('Dynamic Radio Re-Grouping'!$D:$D,"Crucial")</f>
        <v>0</v>
      </c>
      <c r="F82" s="12">
        <f>'Dynamic Radio Re-Grouping'!H8</f>
        <v>0</v>
      </c>
      <c r="G82" s="12">
        <f>'Dynamic Radio Re-Grouping'!H9</f>
        <v>0</v>
      </c>
      <c r="H82" s="12">
        <f>'Dynamic Radio Re-Grouping'!H10</f>
        <v>0</v>
      </c>
      <c r="I82" s="12">
        <f>'Dynamic Radio Re-Grouping'!H11</f>
        <v>0</v>
      </c>
    </row>
    <row r="83" spans="2:9" ht="20.100000000000001" customHeight="1" x14ac:dyDescent="0.3">
      <c r="B83" s="11"/>
      <c r="C83" s="12" t="str">
        <f t="shared" si="5"/>
        <v>CAD Interface CAD2CAD</v>
      </c>
      <c r="D83" s="12">
        <f t="shared" si="6"/>
        <v>0</v>
      </c>
      <c r="E83" s="12">
        <f>COUNTIF(CAD2CAD!$D:$D,"Crucial")</f>
        <v>0</v>
      </c>
      <c r="F83" s="12">
        <f>CAD2CAD!H10</f>
        <v>0</v>
      </c>
      <c r="G83" s="12">
        <f>CAD2CAD!H12</f>
        <v>0</v>
      </c>
      <c r="H83" s="12">
        <f>CAD2CAD!H13</f>
        <v>0</v>
      </c>
      <c r="I83" s="12">
        <f>CAD2CAD!H14</f>
        <v>0</v>
      </c>
    </row>
    <row r="84" spans="2:9" ht="20.100000000000001" customHeight="1" x14ac:dyDescent="0.3">
      <c r="B84" s="11"/>
      <c r="C84" s="12" t="str">
        <f t="shared" si="5"/>
        <v>CAD Interface Dynamic LiveScan Module</v>
      </c>
      <c r="D84" s="12">
        <f t="shared" si="6"/>
        <v>0</v>
      </c>
      <c r="E84" s="12">
        <f>COUNTIF('LiveScan Module'!$D:$D,"Crucial")</f>
        <v>0</v>
      </c>
      <c r="F84" s="12">
        <f>'LiveScan Module'!H8</f>
        <v>0</v>
      </c>
      <c r="G84" s="12">
        <f>'LiveScan Module'!H9</f>
        <v>0</v>
      </c>
      <c r="H84" s="12">
        <f>'LiveScan Module'!H10</f>
        <v>0</v>
      </c>
      <c r="I84" s="12">
        <f>'LiveScan Module'!H11</f>
        <v>0</v>
      </c>
    </row>
    <row r="85" spans="2:9" ht="20.100000000000001" customHeight="1" x14ac:dyDescent="0.3">
      <c r="B85" s="11"/>
      <c r="C85" s="12" t="str">
        <f t="shared" si="5"/>
        <v>CAD Dispatch Protocol Software</v>
      </c>
      <c r="D85" s="12">
        <f t="shared" si="6"/>
        <v>0</v>
      </c>
      <c r="E85" s="12">
        <f>COUNTIF('Dispatch Protocol Software'!$D:$D,"Crucial")</f>
        <v>17</v>
      </c>
      <c r="F85" s="12">
        <f>'Dispatch Protocol Software'!H9</f>
        <v>17</v>
      </c>
      <c r="G85" s="12">
        <f>'Dispatch Protocol Software'!H10</f>
        <v>0</v>
      </c>
      <c r="H85" s="12">
        <f>'Dispatch Protocol Software'!H11</f>
        <v>0</v>
      </c>
      <c r="I85" s="12">
        <f>'Dispatch Protocol Software'!H13</f>
        <v>0</v>
      </c>
    </row>
    <row r="86" spans="2:9" ht="20.100000000000001" customHeight="1" x14ac:dyDescent="0.3">
      <c r="B86" s="11"/>
      <c r="C86" s="12" t="str">
        <f t="shared" si="5"/>
        <v>CAD Interface E9-1-1</v>
      </c>
      <c r="D86" s="12">
        <f t="shared" si="6"/>
        <v>0</v>
      </c>
      <c r="E86" s="12">
        <f>COUNTIF('E9-1-1 Interface'!$D:$D,"Crucial")</f>
        <v>18</v>
      </c>
      <c r="F86" s="12">
        <f>'E9-1-1 Interface'!H8</f>
        <v>18</v>
      </c>
      <c r="G86" s="12">
        <f>'E9-1-1 Interface'!H9</f>
        <v>0</v>
      </c>
      <c r="H86" s="12">
        <f>'E9-1-1 Interface'!H10</f>
        <v>0</v>
      </c>
      <c r="I86" s="12">
        <f>'E9-1-1 Interface'!H12</f>
        <v>0</v>
      </c>
    </row>
    <row r="87" spans="2:9" ht="20.100000000000001" customHeight="1" x14ac:dyDescent="0.3">
      <c r="B87" s="11"/>
      <c r="C87" s="12" t="str">
        <f t="shared" si="5"/>
        <v>CAD Interface Emergency Notification System</v>
      </c>
      <c r="D87" s="12">
        <f t="shared" si="6"/>
        <v>0</v>
      </c>
      <c r="E87" s="12">
        <f>COUNTIF('Emergency Notification System'!$D:$D,"Crucial")</f>
        <v>0</v>
      </c>
      <c r="F87" s="12">
        <f>'Emergency Notification System'!H9</f>
        <v>0</v>
      </c>
      <c r="G87" s="12">
        <f>'Emergency Notification System'!H10</f>
        <v>0</v>
      </c>
      <c r="H87" s="12">
        <f>'Emergency Notification System'!H11</f>
        <v>0</v>
      </c>
      <c r="I87" s="12">
        <f>'Emergency Notification System'!H13</f>
        <v>0</v>
      </c>
    </row>
    <row r="88" spans="2:9" ht="20.100000000000001" customHeight="1" x14ac:dyDescent="0.3">
      <c r="B88" s="11"/>
      <c r="C88" s="12" t="str">
        <f t="shared" si="5"/>
        <v>CAD Interface ePCR</v>
      </c>
      <c r="D88" s="12">
        <f t="shared" si="6"/>
        <v>0</v>
      </c>
      <c r="E88" s="12">
        <f>COUNTIF(ePCR!$D:$D,"Crucial")</f>
        <v>21</v>
      </c>
      <c r="F88" s="12">
        <f>ePCR!H8</f>
        <v>21</v>
      </c>
      <c r="G88" s="12">
        <f>ePCR!H9</f>
        <v>0</v>
      </c>
      <c r="H88" s="12">
        <f>ePCR!H10</f>
        <v>0</v>
      </c>
      <c r="I88" s="12">
        <f>ePCR!H11</f>
        <v>0</v>
      </c>
    </row>
    <row r="89" spans="2:9" ht="20.100000000000001" customHeight="1" x14ac:dyDescent="0.3">
      <c r="B89" s="11"/>
      <c r="C89" s="12" t="str">
        <f t="shared" si="5"/>
        <v>CAD Interface External Databases</v>
      </c>
      <c r="D89" s="12">
        <f t="shared" si="6"/>
        <v>0</v>
      </c>
      <c r="E89" s="12">
        <f>COUNTIF('External Databases'!$D:$D,"Crucial")</f>
        <v>1</v>
      </c>
      <c r="F89" s="12">
        <f>'External Databases'!H10</f>
        <v>1</v>
      </c>
      <c r="G89" s="12">
        <f>'External Databases'!H11</f>
        <v>0</v>
      </c>
      <c r="H89" s="12">
        <f>'External Databases'!H12</f>
        <v>0</v>
      </c>
      <c r="I89" s="12">
        <f>'External Databases'!H14</f>
        <v>0</v>
      </c>
    </row>
    <row r="90" spans="2:9" ht="20.100000000000001" customHeight="1" x14ac:dyDescent="0.3">
      <c r="B90" s="11"/>
      <c r="C90" s="12" t="str">
        <f t="shared" si="5"/>
        <v>CAD Interface Firehouse Software</v>
      </c>
      <c r="D90" s="12">
        <f t="shared" si="6"/>
        <v>0</v>
      </c>
      <c r="E90" s="12">
        <f>COUNTIF(FRMS!$D:$D,"Crucial")</f>
        <v>12</v>
      </c>
      <c r="F90" s="12">
        <f>FRMS!H8</f>
        <v>12</v>
      </c>
      <c r="G90" s="12">
        <f>FRMS!H9</f>
        <v>0</v>
      </c>
      <c r="H90" s="12">
        <f>FRMS!H10</f>
        <v>0</v>
      </c>
      <c r="I90" s="12">
        <f>FRMS!H11</f>
        <v>0</v>
      </c>
    </row>
    <row r="91" spans="2:9" ht="20.100000000000001" customHeight="1" x14ac:dyDescent="0.3">
      <c r="B91" s="11"/>
      <c r="C91" s="12" t="str">
        <f t="shared" si="5"/>
        <v>CAD Interface Forms/Report Writing Tool</v>
      </c>
      <c r="D91" s="12">
        <f t="shared" si="6"/>
        <v>0</v>
      </c>
      <c r="E91" s="12">
        <f>COUNTIF(Forms!$D:$D,"Crucial")</f>
        <v>7</v>
      </c>
      <c r="F91" s="12">
        <f>Forms!H8</f>
        <v>7</v>
      </c>
      <c r="G91" s="12">
        <f>Forms!H9</f>
        <v>0</v>
      </c>
      <c r="H91" s="12">
        <f>Forms!H10</f>
        <v>0</v>
      </c>
      <c r="I91" s="12">
        <f>Forms!H11</f>
        <v>0</v>
      </c>
    </row>
    <row r="92" spans="2:9" ht="20.100000000000001" customHeight="1" x14ac:dyDescent="0.3">
      <c r="B92" s="11"/>
      <c r="C92" s="12" t="str">
        <f t="shared" si="5"/>
        <v>CAD Interface Hazardous Materials</v>
      </c>
      <c r="D92" s="12">
        <f t="shared" si="6"/>
        <v>0</v>
      </c>
      <c r="E92" s="12">
        <f>COUNTIF('Hazardous Materials'!$D:$D,"Crucial")</f>
        <v>0</v>
      </c>
      <c r="F92" s="12">
        <f>'Hazardous Materials'!H9</f>
        <v>0</v>
      </c>
      <c r="G92" s="12">
        <f>'Hazardous Materials'!H10</f>
        <v>0</v>
      </c>
      <c r="H92" s="12">
        <f>'Hazardous Materials'!H11</f>
        <v>0</v>
      </c>
      <c r="I92" s="12">
        <f>'Hazardous Materials'!H12</f>
        <v>0</v>
      </c>
    </row>
    <row r="93" spans="2:9" ht="20.100000000000001" customHeight="1" x14ac:dyDescent="0.3">
      <c r="B93" s="11"/>
      <c r="C93" s="12" t="str">
        <f t="shared" si="5"/>
        <v>CAD Interface Logging Recorder</v>
      </c>
      <c r="D93" s="12">
        <f t="shared" si="6"/>
        <v>0</v>
      </c>
      <c r="E93" s="12">
        <f>COUNTIF('Logging Recorder'!$D:$D,"Crucial")</f>
        <v>0</v>
      </c>
      <c r="F93" s="12">
        <f>'Logging Recorder'!H8</f>
        <v>0</v>
      </c>
      <c r="G93" s="12">
        <f>'Logging Recorder'!H9</f>
        <v>0</v>
      </c>
      <c r="H93" s="12">
        <f>'Logging Recorder'!H10</f>
        <v>0</v>
      </c>
      <c r="I93" s="12">
        <f>'Logging Recorder'!H11</f>
        <v>0</v>
      </c>
    </row>
    <row r="94" spans="2:9" ht="20.100000000000001" customHeight="1" x14ac:dyDescent="0.3">
      <c r="B94" s="11"/>
      <c r="C94" s="12" t="str">
        <f t="shared" si="5"/>
        <v>CAD Interface NextGen 911</v>
      </c>
      <c r="D94" s="12">
        <f t="shared" si="6"/>
        <v>0</v>
      </c>
      <c r="E94" s="12">
        <f>COUNTIF(NextGen!$D:$D,"Crucial")</f>
        <v>0</v>
      </c>
      <c r="F94" s="12">
        <f>NextGen!H8</f>
        <v>0</v>
      </c>
      <c r="G94" s="12">
        <f>NextGen!H9</f>
        <v>0</v>
      </c>
      <c r="H94" s="12">
        <f>NextGen!H10</f>
        <v>0</v>
      </c>
      <c r="I94" s="12">
        <f>NextGen!H11</f>
        <v>0</v>
      </c>
    </row>
    <row r="95" spans="2:9" ht="20.100000000000001" customHeight="1" x14ac:dyDescent="0.3">
      <c r="B95" s="11"/>
      <c r="C95" s="12" t="str">
        <f t="shared" si="5"/>
        <v>CAD Interface PSAP Master Clock</v>
      </c>
      <c r="D95" s="12">
        <f t="shared" si="6"/>
        <v>0</v>
      </c>
      <c r="E95" s="12">
        <f>COUNTIF('PSAP Master Clock'!$D:$D,"Crucial")</f>
        <v>0</v>
      </c>
      <c r="F95" s="12">
        <f>'PSAP Master Clock'!H8</f>
        <v>0</v>
      </c>
      <c r="G95" s="12">
        <f>'PSAP Master Clock'!H9</f>
        <v>0</v>
      </c>
      <c r="H95" s="12">
        <f>'PSAP Master Clock'!H10</f>
        <v>0</v>
      </c>
      <c r="I95" s="12">
        <f>'PSAP Master Clock'!H11</f>
        <v>0</v>
      </c>
    </row>
    <row r="96" spans="2:9" ht="20.100000000000001" customHeight="1" x14ac:dyDescent="0.3">
      <c r="B96" s="11"/>
      <c r="C96" s="12" t="str">
        <f t="shared" si="5"/>
        <v>CAD Interface Pictometry</v>
      </c>
      <c r="D96" s="12">
        <f t="shared" si="6"/>
        <v>0</v>
      </c>
      <c r="E96" s="12">
        <f>COUNTIF(Pictometry!$D:$D,"Crucial")</f>
        <v>0</v>
      </c>
      <c r="F96" s="12">
        <f>Pictometry!H8</f>
        <v>0</v>
      </c>
      <c r="G96" s="12">
        <f>Pictometry!H9</f>
        <v>0</v>
      </c>
      <c r="H96" s="12">
        <f>Pictometry!H10</f>
        <v>0</v>
      </c>
      <c r="I96" s="12">
        <f>Pictometry!H11</f>
        <v>0</v>
      </c>
    </row>
    <row r="97" spans="2:9" ht="20.100000000000001" customHeight="1" x14ac:dyDescent="0.3">
      <c r="B97" s="11"/>
      <c r="C97" s="12" t="str">
        <f t="shared" si="5"/>
        <v>CAD Interface Radio System</v>
      </c>
      <c r="D97" s="12">
        <f t="shared" si="6"/>
        <v>0</v>
      </c>
      <c r="E97" s="12">
        <f>COUNTIF('Radio System'!$D:$D,"Crucial")</f>
        <v>31</v>
      </c>
      <c r="F97" s="12">
        <f>'Radio System'!H9</f>
        <v>31</v>
      </c>
      <c r="G97" s="12">
        <f>'Radio System'!H10</f>
        <v>0</v>
      </c>
      <c r="H97" s="12">
        <f>'Radio System'!H11</f>
        <v>0</v>
      </c>
      <c r="I97" s="12">
        <f>'Radio System'!H12</f>
        <v>0</v>
      </c>
    </row>
    <row r="98" spans="2:9" ht="20.100000000000001" customHeight="1" x14ac:dyDescent="0.3">
      <c r="B98" s="11"/>
      <c r="C98" s="12" t="str">
        <f t="shared" si="5"/>
        <v>CAD Interface Rip and Run</v>
      </c>
      <c r="D98" s="12">
        <f t="shared" si="6"/>
        <v>0</v>
      </c>
      <c r="E98" s="12">
        <f>COUNTIF('Rip and Run'!$D:$D,"Crucial")</f>
        <v>0</v>
      </c>
      <c r="F98" s="12">
        <f>'Rip and Run'!H9</f>
        <v>0</v>
      </c>
      <c r="G98" s="12">
        <f>'Rip and Run'!H10</f>
        <v>0</v>
      </c>
      <c r="H98" s="12">
        <f>'Rip and Run'!H11</f>
        <v>0</v>
      </c>
      <c r="I98" s="12">
        <f>'Rip and Run'!H12</f>
        <v>0</v>
      </c>
    </row>
    <row r="99" spans="2:9" ht="20.100000000000001" customHeight="1" x14ac:dyDescent="0.3">
      <c r="B99" s="11"/>
      <c r="C99" s="12" t="str">
        <f t="shared" si="5"/>
        <v>CAD Interface Staffing</v>
      </c>
      <c r="D99" s="12">
        <f t="shared" si="6"/>
        <v>0</v>
      </c>
      <c r="E99" s="12">
        <f>COUNTIF(Staffing!$D:$D,"Crucial")</f>
        <v>0</v>
      </c>
      <c r="F99" s="12">
        <f>Staffing!H8</f>
        <v>0</v>
      </c>
      <c r="G99" s="12">
        <f>Staffing!H9</f>
        <v>0</v>
      </c>
      <c r="H99" s="12">
        <f>Staffing!H10</f>
        <v>0</v>
      </c>
      <c r="I99" s="12">
        <f>Staffing!H11</f>
        <v>0</v>
      </c>
    </row>
    <row r="100" spans="2:9" ht="20.100000000000001" customHeight="1" x14ac:dyDescent="0.3">
      <c r="B100" s="11"/>
      <c r="C100" s="12" t="str">
        <f t="shared" si="5"/>
        <v>CAD Interface LE State / NCIC</v>
      </c>
      <c r="D100" s="12">
        <f t="shared" si="6"/>
        <v>0</v>
      </c>
      <c r="E100" s="12">
        <f>COUNTIF('State NCIC Interface'!$D:$D,"Crucial")</f>
        <v>41</v>
      </c>
      <c r="F100" s="12">
        <f>'State NCIC Interface'!H8</f>
        <v>41</v>
      </c>
      <c r="G100" s="12">
        <f>'State NCIC Interface'!H9</f>
        <v>0</v>
      </c>
      <c r="H100" s="12">
        <f>'State NCIC Interface'!H10</f>
        <v>0</v>
      </c>
      <c r="I100" s="12">
        <f>'State NCIC Interface'!H11</f>
        <v>0</v>
      </c>
    </row>
    <row r="101" spans="2:9" ht="20.100000000000001" customHeight="1" x14ac:dyDescent="0.3">
      <c r="B101" s="11"/>
      <c r="C101" s="12" t="str">
        <f t="shared" si="5"/>
        <v>CAD Interface TDD / TDY</v>
      </c>
      <c r="D101" s="12">
        <f t="shared" si="6"/>
        <v>0</v>
      </c>
      <c r="E101" s="12">
        <f>COUNTIF('TDD-TTY'!$D:$D,"Crucial")</f>
        <v>3</v>
      </c>
      <c r="F101" s="12">
        <f>'TDD-TTY'!H8</f>
        <v>3</v>
      </c>
      <c r="G101" s="12">
        <f>'TDD-TTY'!H9</f>
        <v>0</v>
      </c>
      <c r="H101" s="12">
        <f>'TDD-TTY'!H10</f>
        <v>0</v>
      </c>
      <c r="I101" s="12">
        <f>'TDD-TTY'!H12</f>
        <v>0</v>
      </c>
    </row>
    <row r="102" spans="2:9" ht="20.100000000000001" customHeight="1" x14ac:dyDescent="0.3">
      <c r="B102" s="11"/>
      <c r="C102" s="12" t="str">
        <f t="shared" si="5"/>
        <v>CAD Interface Web CAD</v>
      </c>
      <c r="D102" s="12">
        <f t="shared" si="6"/>
        <v>0</v>
      </c>
      <c r="E102" s="12">
        <f>COUNTIF('Web CAD Interface'!$D:$D,"Crucial")</f>
        <v>23</v>
      </c>
      <c r="F102" s="12">
        <f>'Web CAD Interface'!H8</f>
        <v>23</v>
      </c>
      <c r="G102" s="12">
        <f>'Web CAD Interface'!H9</f>
        <v>0</v>
      </c>
      <c r="H102" s="12">
        <f>'Web CAD Interface'!H10</f>
        <v>0</v>
      </c>
      <c r="I102" s="12">
        <f>'Web CAD Interface'!H11</f>
        <v>0</v>
      </c>
    </row>
    <row r="103" spans="2:9" ht="3.75" customHeight="1" x14ac:dyDescent="0.3">
      <c r="B103" s="23"/>
      <c r="C103" s="23"/>
      <c r="D103" s="23"/>
      <c r="E103" s="23"/>
      <c r="F103" s="23"/>
      <c r="G103" s="23"/>
      <c r="H103" s="23"/>
      <c r="I103" s="23"/>
    </row>
    <row r="104" spans="2:9" s="9" customFormat="1" ht="60" customHeight="1" x14ac:dyDescent="0.3">
      <c r="B104" s="10" t="s">
        <v>4</v>
      </c>
      <c r="C104" s="10" t="s">
        <v>5</v>
      </c>
      <c r="D104" s="10" t="s">
        <v>14</v>
      </c>
      <c r="E104" s="10" t="s">
        <v>24</v>
      </c>
      <c r="F104" s="10" t="s">
        <v>25</v>
      </c>
      <c r="G104" s="10" t="s">
        <v>26</v>
      </c>
      <c r="H104" s="10" t="s">
        <v>27</v>
      </c>
      <c r="I104" s="10" t="s">
        <v>28</v>
      </c>
    </row>
    <row r="105" spans="2:9" ht="20.100000000000001" customHeight="1" x14ac:dyDescent="0.3">
      <c r="B105" s="11" t="str">
        <f>B15</f>
        <v>INTERFACES</v>
      </c>
      <c r="C105" s="12"/>
      <c r="D105" s="12">
        <f>SUM(D106:D132)</f>
        <v>0</v>
      </c>
      <c r="E105" s="12">
        <f t="shared" ref="E105:I105" si="7">SUM(E106:E132)</f>
        <v>206</v>
      </c>
      <c r="F105" s="12">
        <f t="shared" si="7"/>
        <v>206</v>
      </c>
      <c r="G105" s="12">
        <f t="shared" si="7"/>
        <v>0</v>
      </c>
      <c r="H105" s="12">
        <f t="shared" si="7"/>
        <v>0</v>
      </c>
      <c r="I105" s="12">
        <f t="shared" si="7"/>
        <v>0</v>
      </c>
    </row>
    <row r="106" spans="2:9" ht="20.100000000000001" customHeight="1" x14ac:dyDescent="0.3">
      <c r="B106" s="11"/>
      <c r="C106" s="12" t="str">
        <f t="shared" ref="C106:C132" si="8">C16</f>
        <v>CAD Interface General Requirements</v>
      </c>
      <c r="D106" s="12">
        <f>G106*2</f>
        <v>0</v>
      </c>
      <c r="E106" s="12">
        <f>COUNTIF('General Interface'!$D:$D,"Important")</f>
        <v>9</v>
      </c>
      <c r="F106" s="12">
        <f>'General Interface'!H12</f>
        <v>9</v>
      </c>
      <c r="G106" s="12">
        <f>'General Interface'!H13</f>
        <v>0</v>
      </c>
      <c r="H106" s="12">
        <f>'General Interface'!H14</f>
        <v>0</v>
      </c>
      <c r="I106" s="12">
        <f>'General Interface'!H15</f>
        <v>0</v>
      </c>
    </row>
    <row r="107" spans="2:9" ht="20.100000000000001" customHeight="1" x14ac:dyDescent="0.3">
      <c r="B107" s="11"/>
      <c r="C107" s="12" t="str">
        <f t="shared" si="8"/>
        <v>CAD Interface Alarm Monitoring</v>
      </c>
      <c r="D107" s="12">
        <f>G107*2</f>
        <v>0</v>
      </c>
      <c r="E107" s="12">
        <f>COUNTIF('Alarm Monitoring'!$D:$D,"Important")</f>
        <v>9</v>
      </c>
      <c r="F107" s="12">
        <f>'Alarm Monitoring'!H12</f>
        <v>9</v>
      </c>
      <c r="G107" s="12">
        <f>'Alarm Monitoring'!H13</f>
        <v>0</v>
      </c>
      <c r="H107" s="12">
        <f>'Alarm Monitoring'!H14</f>
        <v>0</v>
      </c>
      <c r="I107" s="12">
        <f>'Alarm Monitoring'!H15</f>
        <v>0</v>
      </c>
    </row>
    <row r="108" spans="2:9" ht="20.100000000000001" customHeight="1" x14ac:dyDescent="0.3">
      <c r="B108" s="11"/>
      <c r="C108" s="12" t="str">
        <f t="shared" si="8"/>
        <v>CAD Interface Alarm Tracking and Billing</v>
      </c>
      <c r="D108" s="12">
        <f t="shared" ref="D108:D132" si="9">G108*2</f>
        <v>0</v>
      </c>
      <c r="E108" s="12">
        <f>COUNTIF('Alarm Tracking and Billing'!$D:$D,"Important")</f>
        <v>0</v>
      </c>
      <c r="F108" s="12">
        <f>'Alarm Tracking and Billing'!H12</f>
        <v>0</v>
      </c>
      <c r="G108" s="12">
        <f>'Alarm Tracking and Billing'!H13</f>
        <v>0</v>
      </c>
      <c r="H108" s="12">
        <f>'Alarm Tracking and Billing'!H14</f>
        <v>0</v>
      </c>
      <c r="I108" s="12">
        <f>'Alarm Tracking and Billing'!H15</f>
        <v>0</v>
      </c>
    </row>
    <row r="109" spans="2:9" ht="20.100000000000001" customHeight="1" x14ac:dyDescent="0.3">
      <c r="B109" s="11"/>
      <c r="C109" s="12" t="str">
        <f t="shared" si="8"/>
        <v>CAD Interface Alerting</v>
      </c>
      <c r="D109" s="12">
        <f t="shared" si="9"/>
        <v>0</v>
      </c>
      <c r="E109" s="12">
        <f>COUNTIF('Alerting Interface'!$D:$D,"Important")</f>
        <v>4</v>
      </c>
      <c r="F109" s="12">
        <f>'Alerting Interface'!H13</f>
        <v>4</v>
      </c>
      <c r="G109" s="12">
        <f>'Alerting Interface'!H14</f>
        <v>0</v>
      </c>
      <c r="H109" s="12">
        <f>'Alerting Interface'!H15</f>
        <v>0</v>
      </c>
      <c r="I109" s="12">
        <f>'Alerting Interface'!H16</f>
        <v>0</v>
      </c>
    </row>
    <row r="110" spans="2:9" ht="20.100000000000001" customHeight="1" x14ac:dyDescent="0.3">
      <c r="B110" s="11"/>
      <c r="C110" s="12" t="str">
        <f t="shared" si="8"/>
        <v>CAD Interface Alphanumeric / Text Paging</v>
      </c>
      <c r="D110" s="12">
        <f t="shared" si="9"/>
        <v>0</v>
      </c>
      <c r="E110" s="12">
        <f>COUNTIF('Alpha-Text Paging Interface'!$D:$D,"Important")</f>
        <v>24</v>
      </c>
      <c r="F110" s="12">
        <f>'Alpha-Text Paging Interface'!H13</f>
        <v>24</v>
      </c>
      <c r="G110" s="12">
        <f>'Alpha-Text Paging Interface'!H15</f>
        <v>0</v>
      </c>
      <c r="H110" s="12">
        <f>'Alpha-Text Paging Interface'!H16</f>
        <v>0</v>
      </c>
      <c r="I110" s="12">
        <f>'Alpha-Text Paging Interface'!H17</f>
        <v>0</v>
      </c>
    </row>
    <row r="111" spans="2:9" ht="19.8" customHeight="1" x14ac:dyDescent="0.3">
      <c r="B111" s="11"/>
      <c r="C111" s="12" t="str">
        <f t="shared" si="8"/>
        <v>CAD Interface AVL</v>
      </c>
      <c r="D111" s="12">
        <f t="shared" si="9"/>
        <v>0</v>
      </c>
      <c r="E111" s="12">
        <f>COUNTIF('AVL Interface'!$D:$D,"Important")</f>
        <v>12</v>
      </c>
      <c r="F111" s="12">
        <f>'AVL Interface'!H12</f>
        <v>12</v>
      </c>
      <c r="G111" s="12">
        <f>'AVL Interface'!H13</f>
        <v>0</v>
      </c>
      <c r="H111" s="12">
        <f>'AVL Interface'!H14</f>
        <v>0</v>
      </c>
      <c r="I111" s="12">
        <f>'AVL Interface'!H15</f>
        <v>0</v>
      </c>
    </row>
    <row r="112" spans="2:9" ht="20.100000000000001" customHeight="1" x14ac:dyDescent="0.3">
      <c r="B112" s="11"/>
      <c r="C112" s="12" t="str">
        <f t="shared" si="8"/>
        <v>CAD Interface Dynamic Radio Re-Grouping</v>
      </c>
      <c r="D112" s="12">
        <f t="shared" si="9"/>
        <v>0</v>
      </c>
      <c r="E112" s="12">
        <f>COUNTIF('Dynamic Radio Re-Grouping'!$D:$D,"Important")</f>
        <v>0</v>
      </c>
      <c r="F112" s="12">
        <f>'Dynamic Radio Re-Grouping'!H12</f>
        <v>0</v>
      </c>
      <c r="G112" s="12">
        <f>'Dynamic Radio Re-Grouping'!H13</f>
        <v>0</v>
      </c>
      <c r="H112" s="12">
        <f>'Dynamic Radio Re-Grouping'!H14</f>
        <v>0</v>
      </c>
      <c r="I112" s="12">
        <f>'Dynamic Radio Re-Grouping'!H15</f>
        <v>0</v>
      </c>
    </row>
    <row r="113" spans="2:9" ht="20.100000000000001" customHeight="1" x14ac:dyDescent="0.3">
      <c r="B113" s="11"/>
      <c r="C113" s="12" t="str">
        <f t="shared" si="8"/>
        <v>CAD Interface CAD2CAD</v>
      </c>
      <c r="D113" s="12">
        <f t="shared" si="9"/>
        <v>0</v>
      </c>
      <c r="E113" s="12">
        <f>COUNTIF(CAD2CAD!$D:$D,"Important")</f>
        <v>30</v>
      </c>
      <c r="F113" s="12">
        <f>CAD2CAD!H15</f>
        <v>30</v>
      </c>
      <c r="G113" s="12">
        <f>CAD2CAD!H16</f>
        <v>0</v>
      </c>
      <c r="H113" s="12">
        <f>CAD2CAD!H17</f>
        <v>0</v>
      </c>
      <c r="I113" s="12">
        <f>CAD2CAD!H19</f>
        <v>0</v>
      </c>
    </row>
    <row r="114" spans="2:9" ht="20.100000000000001" customHeight="1" x14ac:dyDescent="0.3">
      <c r="B114" s="11"/>
      <c r="C114" s="12" t="str">
        <f t="shared" si="8"/>
        <v>CAD Interface Dynamic LiveScan Module</v>
      </c>
      <c r="D114" s="12">
        <f t="shared" si="9"/>
        <v>0</v>
      </c>
      <c r="E114" s="12">
        <f>COUNTIF('LiveScan Module'!$D:$D,"Important")</f>
        <v>0</v>
      </c>
      <c r="F114" s="12">
        <f>'LiveScan Module'!H12</f>
        <v>0</v>
      </c>
      <c r="G114" s="12">
        <f>'LiveScan Module'!H13</f>
        <v>0</v>
      </c>
      <c r="H114" s="12">
        <f>'LiveScan Module'!H14</f>
        <v>0</v>
      </c>
      <c r="I114" s="12">
        <f>'LiveScan Module'!H15</f>
        <v>0</v>
      </c>
    </row>
    <row r="115" spans="2:9" ht="20.100000000000001" customHeight="1" x14ac:dyDescent="0.3">
      <c r="B115" s="11"/>
      <c r="C115" s="12" t="str">
        <f t="shared" si="8"/>
        <v>CAD Dispatch Protocol Software</v>
      </c>
      <c r="D115" s="12">
        <f t="shared" si="9"/>
        <v>0</v>
      </c>
      <c r="E115" s="12">
        <f>COUNTIF('Dispatch Protocol Software'!$D:$D,"Important")</f>
        <v>2</v>
      </c>
      <c r="F115" s="12">
        <f>'Dispatch Protocol Software'!H14</f>
        <v>2</v>
      </c>
      <c r="G115" s="12">
        <f>'Dispatch Protocol Software'!H15</f>
        <v>0</v>
      </c>
      <c r="H115" s="12">
        <f>'Dispatch Protocol Software'!H16</f>
        <v>0</v>
      </c>
      <c r="I115" s="12">
        <f>'Dispatch Protocol Software'!H17</f>
        <v>0</v>
      </c>
    </row>
    <row r="116" spans="2:9" ht="20.100000000000001" customHeight="1" x14ac:dyDescent="0.3">
      <c r="B116" s="11"/>
      <c r="C116" s="12" t="str">
        <f t="shared" si="8"/>
        <v>CAD Interface E9-1-1</v>
      </c>
      <c r="D116" s="12">
        <f t="shared" si="9"/>
        <v>0</v>
      </c>
      <c r="E116" s="12">
        <f>COUNTIF('E9-1-1 Interface'!$D:$D,"Important")</f>
        <v>1</v>
      </c>
      <c r="F116" s="12">
        <f>'E9-1-1 Interface'!H13</f>
        <v>1</v>
      </c>
      <c r="G116" s="12">
        <f>'E9-1-1 Interface'!H14</f>
        <v>0</v>
      </c>
      <c r="H116" s="12">
        <f>'E9-1-1 Interface'!H15</f>
        <v>0</v>
      </c>
      <c r="I116" s="12">
        <f>'E9-1-1 Interface'!H16</f>
        <v>0</v>
      </c>
    </row>
    <row r="117" spans="2:9" ht="20.100000000000001" customHeight="1" x14ac:dyDescent="0.3">
      <c r="B117" s="11"/>
      <c r="C117" s="12" t="str">
        <f t="shared" si="8"/>
        <v>CAD Interface Emergency Notification System</v>
      </c>
      <c r="D117" s="12">
        <f t="shared" si="9"/>
        <v>0</v>
      </c>
      <c r="E117" s="12">
        <f>COUNTIF('Emergency Notification System'!$D:$D,"Important")</f>
        <v>11</v>
      </c>
      <c r="F117" s="12">
        <f>'Emergency Notification System'!H14</f>
        <v>11</v>
      </c>
      <c r="G117" s="12">
        <f>'Emergency Notification System'!H15</f>
        <v>0</v>
      </c>
      <c r="H117" s="12">
        <f>'Emergency Notification System'!H16</f>
        <v>0</v>
      </c>
      <c r="I117" s="12">
        <f>'Emergency Notification System'!H17</f>
        <v>0</v>
      </c>
    </row>
    <row r="118" spans="2:9" ht="20.100000000000001" customHeight="1" x14ac:dyDescent="0.3">
      <c r="B118" s="11"/>
      <c r="C118" s="12" t="str">
        <f t="shared" si="8"/>
        <v>CAD Interface ePCR</v>
      </c>
      <c r="D118" s="12">
        <f t="shared" si="9"/>
        <v>0</v>
      </c>
      <c r="E118" s="12">
        <f>COUNTIF(ePCR!$D:$D,"Important")</f>
        <v>22</v>
      </c>
      <c r="F118" s="12">
        <f>ePCR!H12</f>
        <v>22</v>
      </c>
      <c r="G118" s="12">
        <f>ePCR!H13</f>
        <v>0</v>
      </c>
      <c r="H118" s="12">
        <f>ePCR!H14</f>
        <v>0</v>
      </c>
      <c r="I118" s="12">
        <f>ePCR!H15</f>
        <v>0</v>
      </c>
    </row>
    <row r="119" spans="2:9" ht="20.100000000000001" customHeight="1" x14ac:dyDescent="0.3">
      <c r="B119" s="11"/>
      <c r="C119" s="12" t="str">
        <f t="shared" si="8"/>
        <v>CAD Interface External Databases</v>
      </c>
      <c r="D119" s="12">
        <f t="shared" si="9"/>
        <v>0</v>
      </c>
      <c r="E119" s="12">
        <f>COUNTIF('External Databases'!$D:$D,"Important")</f>
        <v>0</v>
      </c>
      <c r="F119" s="12">
        <f>'External Databases'!H15</f>
        <v>0</v>
      </c>
      <c r="G119" s="12">
        <f>'External Databases'!H16</f>
        <v>0</v>
      </c>
      <c r="H119" s="12">
        <f>'External Databases'!H17</f>
        <v>0</v>
      </c>
      <c r="I119" s="12">
        <f>'External Databases'!H18</f>
        <v>0</v>
      </c>
    </row>
    <row r="120" spans="2:9" ht="20.100000000000001" customHeight="1" x14ac:dyDescent="0.3">
      <c r="B120" s="11"/>
      <c r="C120" s="12" t="str">
        <f t="shared" si="8"/>
        <v>CAD Interface Firehouse Software</v>
      </c>
      <c r="D120" s="12">
        <f t="shared" si="9"/>
        <v>0</v>
      </c>
      <c r="E120" s="12">
        <f>COUNTIF(FRMS!$D:$D,"Important")</f>
        <v>1</v>
      </c>
      <c r="F120" s="12">
        <f>FRMS!H12</f>
        <v>1</v>
      </c>
      <c r="G120" s="12">
        <f>FRMS!H13</f>
        <v>0</v>
      </c>
      <c r="H120" s="12">
        <f>FRMS!H14</f>
        <v>0</v>
      </c>
      <c r="I120" s="12">
        <f>FRMS!H15</f>
        <v>0</v>
      </c>
    </row>
    <row r="121" spans="2:9" ht="20.100000000000001" customHeight="1" x14ac:dyDescent="0.3">
      <c r="B121" s="11"/>
      <c r="C121" s="12" t="str">
        <f t="shared" si="8"/>
        <v>CAD Interface Forms/Report Writing Tool</v>
      </c>
      <c r="D121" s="12">
        <f t="shared" si="9"/>
        <v>0</v>
      </c>
      <c r="E121" s="12">
        <f>COUNTIF(Forms!$D:$D,"Important")</f>
        <v>0</v>
      </c>
      <c r="F121" s="12">
        <f>Forms!H12</f>
        <v>0</v>
      </c>
      <c r="G121" s="12">
        <f>Forms!H13</f>
        <v>0</v>
      </c>
      <c r="H121" s="12">
        <f>Forms!H14</f>
        <v>0</v>
      </c>
      <c r="I121" s="12">
        <f>Forms!H15</f>
        <v>0</v>
      </c>
    </row>
    <row r="122" spans="2:9" ht="20.100000000000001" customHeight="1" x14ac:dyDescent="0.3">
      <c r="B122" s="11"/>
      <c r="C122" s="12" t="str">
        <f t="shared" si="8"/>
        <v>CAD Interface Hazardous Materials</v>
      </c>
      <c r="D122" s="12">
        <f t="shared" si="9"/>
        <v>0</v>
      </c>
      <c r="E122" s="12">
        <f>COUNTIF('Hazardous Materials'!$D:$D,"Important")</f>
        <v>31</v>
      </c>
      <c r="F122" s="12">
        <f>'Hazardous Materials'!H13</f>
        <v>31</v>
      </c>
      <c r="G122" s="12">
        <f>'Hazardous Materials'!H14</f>
        <v>0</v>
      </c>
      <c r="H122" s="12">
        <f>'Hazardous Materials'!H15</f>
        <v>0</v>
      </c>
      <c r="I122" s="12">
        <f>'Hazardous Materials'!H16</f>
        <v>0</v>
      </c>
    </row>
    <row r="123" spans="2:9" ht="20.100000000000001" customHeight="1" x14ac:dyDescent="0.3">
      <c r="B123" s="11"/>
      <c r="C123" s="12" t="str">
        <f t="shared" si="8"/>
        <v>CAD Interface Logging Recorder</v>
      </c>
      <c r="D123" s="12">
        <f t="shared" si="9"/>
        <v>0</v>
      </c>
      <c r="E123" s="12">
        <f>COUNTIF('Logging Recorder'!$D:$D,"Important")</f>
        <v>0</v>
      </c>
      <c r="F123" s="12">
        <f>'Logging Recorder'!H12</f>
        <v>0</v>
      </c>
      <c r="G123" s="12">
        <f>'Logging Recorder'!H13</f>
        <v>0</v>
      </c>
      <c r="H123" s="12">
        <f>'Logging Recorder'!H14</f>
        <v>0</v>
      </c>
      <c r="I123" s="12">
        <f>'Logging Recorder'!H15</f>
        <v>0</v>
      </c>
    </row>
    <row r="124" spans="2:9" ht="20.100000000000001" customHeight="1" x14ac:dyDescent="0.3">
      <c r="B124" s="11"/>
      <c r="C124" s="12" t="str">
        <f t="shared" si="8"/>
        <v>CAD Interface NextGen 911</v>
      </c>
      <c r="D124" s="12">
        <f t="shared" si="9"/>
        <v>0</v>
      </c>
      <c r="E124" s="12">
        <f>COUNTIF(NextGen!$D:$D,"Important")</f>
        <v>9</v>
      </c>
      <c r="F124" s="12">
        <f>NextGen!H12</f>
        <v>9</v>
      </c>
      <c r="G124" s="12">
        <f>NextGen!H13</f>
        <v>0</v>
      </c>
      <c r="H124" s="12">
        <f>NextGen!H14</f>
        <v>0</v>
      </c>
      <c r="I124" s="12">
        <f>NextGen!H15</f>
        <v>0</v>
      </c>
    </row>
    <row r="125" spans="2:9" ht="20.100000000000001" customHeight="1" x14ac:dyDescent="0.3">
      <c r="B125" s="11"/>
      <c r="C125" s="12" t="str">
        <f t="shared" si="8"/>
        <v>CAD Interface PSAP Master Clock</v>
      </c>
      <c r="D125" s="12">
        <f t="shared" si="9"/>
        <v>0</v>
      </c>
      <c r="E125" s="12">
        <f>COUNTIF('PSAP Master Clock'!$D:$D,"Important")</f>
        <v>0</v>
      </c>
      <c r="F125" s="12">
        <f>'PSAP Master Clock'!H12</f>
        <v>0</v>
      </c>
      <c r="G125" s="12">
        <f>'PSAP Master Clock'!H13</f>
        <v>0</v>
      </c>
      <c r="H125" s="12">
        <f>'PSAP Master Clock'!H14</f>
        <v>0</v>
      </c>
      <c r="I125" s="12">
        <f>'PSAP Master Clock'!H15</f>
        <v>0</v>
      </c>
    </row>
    <row r="126" spans="2:9" ht="20.100000000000001" customHeight="1" x14ac:dyDescent="0.3">
      <c r="B126" s="11"/>
      <c r="C126" s="12" t="str">
        <f t="shared" si="8"/>
        <v>CAD Interface Pictometry</v>
      </c>
      <c r="D126" s="12">
        <f t="shared" si="9"/>
        <v>0</v>
      </c>
      <c r="E126" s="12">
        <f>COUNTIF(Pictometry!$D:$D,"Important")</f>
        <v>9</v>
      </c>
      <c r="F126" s="12">
        <f>Pictometry!H12</f>
        <v>9</v>
      </c>
      <c r="G126" s="12">
        <f>Pictometry!H13</f>
        <v>0</v>
      </c>
      <c r="H126" s="12">
        <f>Pictometry!H14</f>
        <v>0</v>
      </c>
      <c r="I126" s="12">
        <f>Pictometry!H15</f>
        <v>0</v>
      </c>
    </row>
    <row r="127" spans="2:9" ht="20.100000000000001" customHeight="1" x14ac:dyDescent="0.3">
      <c r="B127" s="11"/>
      <c r="C127" s="12" t="str">
        <f t="shared" si="8"/>
        <v>CAD Interface Radio System</v>
      </c>
      <c r="D127" s="12">
        <f t="shared" si="9"/>
        <v>0</v>
      </c>
      <c r="E127" s="12">
        <f>COUNTIF('Radio System'!$D:$D,"Important")</f>
        <v>10</v>
      </c>
      <c r="F127" s="12">
        <f>'Radio System'!H13</f>
        <v>10</v>
      </c>
      <c r="G127" s="12">
        <f>'Radio System'!H14</f>
        <v>0</v>
      </c>
      <c r="H127" s="12">
        <f>'Radio System'!H15</f>
        <v>0</v>
      </c>
      <c r="I127" s="12">
        <f>'Radio System'!H16</f>
        <v>0</v>
      </c>
    </row>
    <row r="128" spans="2:9" ht="20.100000000000001" customHeight="1" x14ac:dyDescent="0.3">
      <c r="B128" s="11"/>
      <c r="C128" s="12" t="str">
        <f t="shared" si="8"/>
        <v>CAD Interface Rip and Run</v>
      </c>
      <c r="D128" s="12">
        <f t="shared" si="9"/>
        <v>0</v>
      </c>
      <c r="E128" s="12">
        <f>COUNTIF('Rip and Run'!$D:$D,"Important")</f>
        <v>0</v>
      </c>
      <c r="F128" s="12">
        <f>'Rip and Run'!H13</f>
        <v>0</v>
      </c>
      <c r="G128" s="12">
        <f>'Rip and Run'!H14</f>
        <v>0</v>
      </c>
      <c r="H128" s="12">
        <f>'Rip and Run'!H15</f>
        <v>0</v>
      </c>
      <c r="I128" s="12">
        <f>'Rip and Run'!H16</f>
        <v>0</v>
      </c>
    </row>
    <row r="129" spans="2:9" ht="20.100000000000001" customHeight="1" x14ac:dyDescent="0.3">
      <c r="B129" s="11"/>
      <c r="C129" s="12" t="str">
        <f t="shared" si="8"/>
        <v>CAD Interface Staffing</v>
      </c>
      <c r="D129" s="12">
        <f t="shared" si="9"/>
        <v>0</v>
      </c>
      <c r="E129" s="12">
        <f>COUNTIF(Staffing!$D:$D,"Important")</f>
        <v>0</v>
      </c>
      <c r="F129" s="12">
        <f>Staffing!H12</f>
        <v>0</v>
      </c>
      <c r="G129" s="12">
        <f>Staffing!H13</f>
        <v>0</v>
      </c>
      <c r="H129" s="12">
        <f>Staffing!H14</f>
        <v>0</v>
      </c>
      <c r="I129" s="12">
        <f>Staffing!H15</f>
        <v>0</v>
      </c>
    </row>
    <row r="130" spans="2:9" ht="20.100000000000001" customHeight="1" x14ac:dyDescent="0.3">
      <c r="B130" s="11"/>
      <c r="C130" s="12" t="str">
        <f t="shared" si="8"/>
        <v>CAD Interface LE State / NCIC</v>
      </c>
      <c r="D130" s="12">
        <f t="shared" si="9"/>
        <v>0</v>
      </c>
      <c r="E130" s="12">
        <f>COUNTIF('State NCIC Interface'!$D:$D,"Important")</f>
        <v>2</v>
      </c>
      <c r="F130" s="12">
        <f>'State NCIC Interface'!H12</f>
        <v>2</v>
      </c>
      <c r="G130" s="12">
        <f>'State NCIC Interface'!H14</f>
        <v>0</v>
      </c>
      <c r="H130" s="12">
        <f>'State NCIC Interface'!H15</f>
        <v>0</v>
      </c>
      <c r="I130" s="12">
        <f>'State NCIC Interface'!H16</f>
        <v>0</v>
      </c>
    </row>
    <row r="131" spans="2:9" ht="19.95" customHeight="1" x14ac:dyDescent="0.3">
      <c r="B131" s="11"/>
      <c r="C131" s="12" t="str">
        <f t="shared" si="8"/>
        <v>CAD Interface TDD / TDY</v>
      </c>
      <c r="D131" s="12">
        <f t="shared" si="9"/>
        <v>0</v>
      </c>
      <c r="E131" s="12">
        <f>COUNTIF('TDD-TTY'!$D:$D,"Important")</f>
        <v>5</v>
      </c>
      <c r="F131" s="12">
        <f>'TDD-TTY'!H13</f>
        <v>5</v>
      </c>
      <c r="G131" s="12">
        <f>'TDD-TTY'!H14</f>
        <v>0</v>
      </c>
      <c r="H131" s="12">
        <f>'TDD-TTY'!H15</f>
        <v>0</v>
      </c>
      <c r="I131" s="12">
        <f>'TDD-TTY'!H16</f>
        <v>0</v>
      </c>
    </row>
    <row r="132" spans="2:9" ht="19.95" customHeight="1" x14ac:dyDescent="0.3">
      <c r="B132" s="11"/>
      <c r="C132" s="12" t="str">
        <f t="shared" si="8"/>
        <v>CAD Interface Web CAD</v>
      </c>
      <c r="D132" s="12">
        <f t="shared" si="9"/>
        <v>0</v>
      </c>
      <c r="E132" s="12">
        <f>COUNTIF('Web CAD Interface'!$D:$D,"Important")</f>
        <v>15</v>
      </c>
      <c r="F132" s="12">
        <f>'Web CAD Interface'!H12</f>
        <v>15</v>
      </c>
      <c r="G132" s="12">
        <f>'Web CAD Interface'!H13</f>
        <v>0</v>
      </c>
      <c r="H132" s="12">
        <f>'Web CAD Interface'!H14</f>
        <v>0</v>
      </c>
      <c r="I132" s="12">
        <f>'Web CAD Interface'!H15</f>
        <v>0</v>
      </c>
    </row>
    <row r="133" spans="2:9" ht="3.75" customHeight="1" x14ac:dyDescent="0.3">
      <c r="B133" s="23"/>
      <c r="C133" s="23"/>
      <c r="D133" s="23"/>
      <c r="E133" s="23"/>
      <c r="F133" s="23"/>
      <c r="G133" s="23"/>
      <c r="H133" s="23"/>
      <c r="I133" s="23"/>
    </row>
    <row r="134" spans="2:9" s="9" customFormat="1" ht="59.25" customHeight="1" x14ac:dyDescent="0.3">
      <c r="B134" s="10" t="s">
        <v>4</v>
      </c>
      <c r="C134" s="10" t="s">
        <v>5</v>
      </c>
      <c r="D134" s="10" t="s">
        <v>14</v>
      </c>
      <c r="E134" s="10" t="s">
        <v>29</v>
      </c>
      <c r="F134" s="10" t="s">
        <v>30</v>
      </c>
      <c r="G134" s="10" t="s">
        <v>31</v>
      </c>
      <c r="H134" s="10" t="s">
        <v>32</v>
      </c>
      <c r="I134" s="10" t="s">
        <v>33</v>
      </c>
    </row>
    <row r="135" spans="2:9" ht="20.100000000000001" customHeight="1" x14ac:dyDescent="0.3">
      <c r="B135" s="11" t="str">
        <f>B15</f>
        <v>INTERFACES</v>
      </c>
      <c r="C135" s="12"/>
      <c r="D135" s="12">
        <f>SUM(D136:D162)</f>
        <v>0</v>
      </c>
      <c r="E135" s="12">
        <f t="shared" ref="E135:I135" si="10">SUM(E136:E162)</f>
        <v>357</v>
      </c>
      <c r="F135" s="12">
        <f t="shared" si="10"/>
        <v>357</v>
      </c>
      <c r="G135" s="12">
        <f t="shared" si="10"/>
        <v>0</v>
      </c>
      <c r="H135" s="12">
        <f t="shared" si="10"/>
        <v>0</v>
      </c>
      <c r="I135" s="12">
        <f t="shared" si="10"/>
        <v>0</v>
      </c>
    </row>
    <row r="136" spans="2:9" ht="20.100000000000001" customHeight="1" x14ac:dyDescent="0.3">
      <c r="B136" s="11"/>
      <c r="C136" s="12" t="str">
        <f t="shared" ref="C136:C162" si="11">C16</f>
        <v>CAD Interface General Requirements</v>
      </c>
      <c r="D136" s="12">
        <f>G136*1</f>
        <v>0</v>
      </c>
      <c r="E136" s="12">
        <f>COUNTIF('General Interface'!$D:$D,"Minimal")</f>
        <v>7</v>
      </c>
      <c r="F136" s="12">
        <f>'General Interface'!H16</f>
        <v>7</v>
      </c>
      <c r="G136" s="12">
        <f>'General Interface'!H17</f>
        <v>0</v>
      </c>
      <c r="H136" s="12">
        <f>'General Interface'!H18</f>
        <v>0</v>
      </c>
      <c r="I136" s="12">
        <f>'General Interface'!H19</f>
        <v>0</v>
      </c>
    </row>
    <row r="137" spans="2:9" ht="20.100000000000001" customHeight="1" x14ac:dyDescent="0.3">
      <c r="B137" s="20"/>
      <c r="C137" s="12" t="str">
        <f t="shared" si="11"/>
        <v>CAD Interface Alarm Monitoring</v>
      </c>
      <c r="D137" s="12">
        <f t="shared" ref="D137:D162" si="12">G137*1</f>
        <v>0</v>
      </c>
      <c r="E137" s="12">
        <f>COUNTIF('Alarm Monitoring'!$D:$D,"Minimal")</f>
        <v>0</v>
      </c>
      <c r="F137" s="12">
        <f>'Alarm Monitoring'!H16</f>
        <v>0</v>
      </c>
      <c r="G137" s="12">
        <f>'Alarm Monitoring'!H17</f>
        <v>0</v>
      </c>
      <c r="H137" s="12">
        <f>'Alarm Monitoring'!H18</f>
        <v>0</v>
      </c>
      <c r="I137" s="12">
        <f>'Alarm Monitoring'!H19</f>
        <v>0</v>
      </c>
    </row>
    <row r="138" spans="2:9" ht="20.100000000000001" customHeight="1" x14ac:dyDescent="0.3">
      <c r="B138" s="11"/>
      <c r="C138" s="12" t="str">
        <f t="shared" si="11"/>
        <v>CAD Interface Alarm Tracking and Billing</v>
      </c>
      <c r="D138" s="12">
        <f t="shared" si="12"/>
        <v>0</v>
      </c>
      <c r="E138" s="12">
        <f>COUNTIF('Alarm Tracking and Billing'!$D:$D,"Minimal")</f>
        <v>8</v>
      </c>
      <c r="F138" s="12">
        <f>'Alarm Tracking and Billing'!H16</f>
        <v>8</v>
      </c>
      <c r="G138" s="12">
        <f>'Alarm Tracking and Billing'!H17</f>
        <v>0</v>
      </c>
      <c r="H138" s="12">
        <f>'Alarm Tracking and Billing'!H18</f>
        <v>0</v>
      </c>
      <c r="I138" s="12">
        <f>'Alarm Tracking and Billing'!H19</f>
        <v>0</v>
      </c>
    </row>
    <row r="139" spans="2:9" ht="20.100000000000001" customHeight="1" x14ac:dyDescent="0.3">
      <c r="B139" s="11"/>
      <c r="C139" s="12" t="str">
        <f t="shared" si="11"/>
        <v>CAD Interface Alerting</v>
      </c>
      <c r="D139" s="12">
        <f t="shared" si="12"/>
        <v>0</v>
      </c>
      <c r="E139" s="12">
        <f>COUNTIF('Alerting Interface'!$D:$D,"Minimal")</f>
        <v>0</v>
      </c>
      <c r="F139" s="12">
        <f>'Alerting Interface'!H17</f>
        <v>0</v>
      </c>
      <c r="G139" s="12">
        <f>'Alerting Interface'!H18</f>
        <v>0</v>
      </c>
      <c r="H139" s="12">
        <f>'Alerting Interface'!H19</f>
        <v>0</v>
      </c>
      <c r="I139" s="12">
        <f>'Alerting Interface'!H20</f>
        <v>0</v>
      </c>
    </row>
    <row r="140" spans="2:9" ht="20.100000000000001" customHeight="1" x14ac:dyDescent="0.3">
      <c r="B140" s="11"/>
      <c r="C140" s="12" t="str">
        <f t="shared" si="11"/>
        <v>CAD Interface Alphanumeric / Text Paging</v>
      </c>
      <c r="D140" s="12">
        <f t="shared" si="12"/>
        <v>0</v>
      </c>
      <c r="E140" s="12">
        <f>COUNTIF('Alpha-Text Paging Interface'!$D:$D,"Minimal")</f>
        <v>18</v>
      </c>
      <c r="F140" s="12">
        <f>'Alpha-Text Paging Interface'!H18</f>
        <v>18</v>
      </c>
      <c r="G140" s="12">
        <f>'Alpha-Text Paging Interface'!H19</f>
        <v>0</v>
      </c>
      <c r="H140" s="12">
        <f>'Alpha-Text Paging Interface'!H20</f>
        <v>0</v>
      </c>
      <c r="I140" s="12">
        <f>'Alpha-Text Paging Interface'!H21</f>
        <v>0</v>
      </c>
    </row>
    <row r="141" spans="2:9" ht="20.100000000000001" customHeight="1" x14ac:dyDescent="0.3">
      <c r="B141" s="11"/>
      <c r="C141" s="12" t="str">
        <f t="shared" si="11"/>
        <v>CAD Interface AVL</v>
      </c>
      <c r="D141" s="12">
        <f t="shared" si="12"/>
        <v>0</v>
      </c>
      <c r="E141" s="12">
        <f>COUNTIF('AVL Interface'!$D:$D,"Minimal")</f>
        <v>0</v>
      </c>
      <c r="F141" s="12">
        <f>'AVL Interface'!H16</f>
        <v>0</v>
      </c>
      <c r="G141" s="12">
        <f>'AVL Interface'!H17</f>
        <v>0</v>
      </c>
      <c r="H141" s="12">
        <f>'AVL Interface'!H18</f>
        <v>0</v>
      </c>
      <c r="I141" s="12">
        <f>'AVL Interface'!H19</f>
        <v>0</v>
      </c>
    </row>
    <row r="142" spans="2:9" ht="20.100000000000001" customHeight="1" x14ac:dyDescent="0.3">
      <c r="B142" s="11"/>
      <c r="C142" s="12" t="str">
        <f t="shared" si="11"/>
        <v>CAD Interface Dynamic Radio Re-Grouping</v>
      </c>
      <c r="D142" s="12">
        <f t="shared" si="12"/>
        <v>0</v>
      </c>
      <c r="E142" s="12">
        <f>COUNTIF('Dynamic Radio Re-Grouping'!$D:$D,"Minimal")</f>
        <v>6</v>
      </c>
      <c r="F142" s="12">
        <f>'Dynamic Radio Re-Grouping'!H16</f>
        <v>6</v>
      </c>
      <c r="G142" s="12">
        <f>'Dynamic Radio Re-Grouping'!H17</f>
        <v>0</v>
      </c>
      <c r="H142" s="12">
        <f>'Dynamic Radio Re-Grouping'!H18</f>
        <v>0</v>
      </c>
      <c r="I142" s="12">
        <f>'Dynamic Radio Re-Grouping'!H19</f>
        <v>0</v>
      </c>
    </row>
    <row r="143" spans="2:9" ht="20.100000000000001" customHeight="1" x14ac:dyDescent="0.3">
      <c r="B143" s="11"/>
      <c r="C143" s="12" t="str">
        <f t="shared" si="11"/>
        <v>CAD Interface CAD2CAD</v>
      </c>
      <c r="D143" s="12">
        <f t="shared" si="12"/>
        <v>0</v>
      </c>
      <c r="E143" s="12">
        <f>COUNTIF(CAD2CAD!$D:$D,"Minimal")</f>
        <v>0</v>
      </c>
      <c r="F143" s="12">
        <f>CAD2CAD!H20</f>
        <v>0</v>
      </c>
      <c r="G143" s="12">
        <f>CAD2CAD!H21</f>
        <v>0</v>
      </c>
      <c r="H143" s="12">
        <f>CAD2CAD!H22</f>
        <v>0</v>
      </c>
      <c r="I143" s="12">
        <f>CAD2CAD!H23</f>
        <v>0</v>
      </c>
    </row>
    <row r="144" spans="2:9" ht="20.100000000000001" customHeight="1" x14ac:dyDescent="0.3">
      <c r="B144" s="11"/>
      <c r="C144" s="12" t="str">
        <f t="shared" si="11"/>
        <v>CAD Interface Dynamic LiveScan Module</v>
      </c>
      <c r="D144" s="12">
        <f t="shared" si="12"/>
        <v>0</v>
      </c>
      <c r="E144" s="12">
        <f>COUNTIF('LiveScan Module'!$D:$D,"Minimal")</f>
        <v>7</v>
      </c>
      <c r="F144" s="12">
        <f>'LiveScan Module'!H16</f>
        <v>7</v>
      </c>
      <c r="G144" s="12">
        <f>'LiveScan Module'!H17</f>
        <v>0</v>
      </c>
      <c r="H144" s="12">
        <f>'LiveScan Module'!H18</f>
        <v>0</v>
      </c>
      <c r="I144" s="12">
        <f>'LiveScan Module'!H19</f>
        <v>0</v>
      </c>
    </row>
    <row r="145" spans="2:9" ht="20.100000000000001" customHeight="1" x14ac:dyDescent="0.3">
      <c r="B145" s="11"/>
      <c r="C145" s="12" t="str">
        <f t="shared" si="11"/>
        <v>CAD Dispatch Protocol Software</v>
      </c>
      <c r="D145" s="12">
        <f t="shared" si="12"/>
        <v>0</v>
      </c>
      <c r="E145" s="12">
        <f>COUNTIF('Dispatch Protocol Software'!$D:$D,"Minimal")</f>
        <v>25</v>
      </c>
      <c r="F145" s="12">
        <f>'Dispatch Protocol Software'!H18</f>
        <v>25</v>
      </c>
      <c r="G145" s="12">
        <f>'Dispatch Protocol Software'!H19</f>
        <v>0</v>
      </c>
      <c r="H145" s="12">
        <f>'Dispatch Protocol Software'!H20</f>
        <v>0</v>
      </c>
      <c r="I145" s="12">
        <f>'Dispatch Protocol Software'!H21</f>
        <v>0</v>
      </c>
    </row>
    <row r="146" spans="2:9" ht="20.100000000000001" customHeight="1" x14ac:dyDescent="0.3">
      <c r="B146" s="11"/>
      <c r="C146" s="12" t="str">
        <f t="shared" si="11"/>
        <v>CAD Interface E9-1-1</v>
      </c>
      <c r="D146" s="12">
        <f t="shared" si="12"/>
        <v>0</v>
      </c>
      <c r="E146" s="12">
        <f>COUNTIF('E9-1-1 Interface'!$D:$D,"Minimal")</f>
        <v>0</v>
      </c>
      <c r="F146" s="12">
        <f>'E9-1-1 Interface'!H17</f>
        <v>0</v>
      </c>
      <c r="G146" s="12">
        <f>'E9-1-1 Interface'!H18</f>
        <v>0</v>
      </c>
      <c r="H146" s="12">
        <f>'E9-1-1 Interface'!H19</f>
        <v>0</v>
      </c>
      <c r="I146" s="12">
        <f>'E9-1-1 Interface'!H20</f>
        <v>0</v>
      </c>
    </row>
    <row r="147" spans="2:9" ht="20.100000000000001" customHeight="1" x14ac:dyDescent="0.3">
      <c r="B147" s="11"/>
      <c r="C147" s="12" t="str">
        <f t="shared" si="11"/>
        <v>CAD Interface Emergency Notification System</v>
      </c>
      <c r="D147" s="12">
        <f t="shared" si="12"/>
        <v>0</v>
      </c>
      <c r="E147" s="12">
        <f>COUNTIF('Emergency Notification System'!$D:$D,"Minimal")</f>
        <v>0</v>
      </c>
      <c r="F147" s="12">
        <f>'Emergency Notification System'!H18</f>
        <v>0</v>
      </c>
      <c r="G147" s="12">
        <f>'Emergency Notification System'!H19</f>
        <v>0</v>
      </c>
      <c r="H147" s="12">
        <f>'Emergency Notification System'!H20</f>
        <v>0</v>
      </c>
      <c r="I147" s="12">
        <f>'Emergency Notification System'!H21</f>
        <v>0</v>
      </c>
    </row>
    <row r="148" spans="2:9" ht="20.100000000000001" customHeight="1" x14ac:dyDescent="0.3">
      <c r="B148" s="11"/>
      <c r="C148" s="12" t="str">
        <f t="shared" si="11"/>
        <v>CAD Interface ePCR</v>
      </c>
      <c r="D148" s="12">
        <f t="shared" si="12"/>
        <v>0</v>
      </c>
      <c r="E148" s="12">
        <f>COUNTIF(ePCR!$D:$D,"Minimal")</f>
        <v>0</v>
      </c>
      <c r="F148" s="12">
        <f>ePCR!H16</f>
        <v>0</v>
      </c>
      <c r="G148" s="12">
        <f>ePCR!H17</f>
        <v>0</v>
      </c>
      <c r="H148" s="12">
        <f>ePCR!H18</f>
        <v>0</v>
      </c>
      <c r="I148" s="12">
        <f>ePCR!H19</f>
        <v>0</v>
      </c>
    </row>
    <row r="149" spans="2:9" ht="20.100000000000001" customHeight="1" x14ac:dyDescent="0.3">
      <c r="B149" s="11"/>
      <c r="C149" s="12" t="str">
        <f t="shared" si="11"/>
        <v>CAD Interface External Databases</v>
      </c>
      <c r="D149" s="12">
        <f t="shared" si="12"/>
        <v>0</v>
      </c>
      <c r="E149" s="12">
        <f>COUNTIF('External Databases'!$D:$D,"Minimal")</f>
        <v>61</v>
      </c>
      <c r="F149" s="12">
        <f>'External Databases'!H19</f>
        <v>61</v>
      </c>
      <c r="G149" s="12">
        <f>'External Databases'!H20</f>
        <v>0</v>
      </c>
      <c r="H149" s="12">
        <f>'External Databases'!H21</f>
        <v>0</v>
      </c>
      <c r="I149" s="12">
        <f>'External Databases'!H22</f>
        <v>0</v>
      </c>
    </row>
    <row r="150" spans="2:9" ht="20.100000000000001" customHeight="1" x14ac:dyDescent="0.3">
      <c r="B150" s="11"/>
      <c r="C150" s="12" t="str">
        <f t="shared" si="11"/>
        <v>CAD Interface Firehouse Software</v>
      </c>
      <c r="D150" s="12">
        <f t="shared" si="12"/>
        <v>0</v>
      </c>
      <c r="E150" s="12">
        <f>COUNTIF(FRMS!$D:$D,"Minimal")</f>
        <v>8</v>
      </c>
      <c r="F150" s="12">
        <f>FRMS!H16</f>
        <v>8</v>
      </c>
      <c r="G150" s="12">
        <f>FRMS!H18</f>
        <v>0</v>
      </c>
      <c r="H150" s="12">
        <f>FRMS!H19</f>
        <v>0</v>
      </c>
      <c r="I150" s="12">
        <f>FRMS!H20</f>
        <v>0</v>
      </c>
    </row>
    <row r="151" spans="2:9" ht="20.100000000000001" customHeight="1" x14ac:dyDescent="0.3">
      <c r="B151" s="11"/>
      <c r="C151" s="12" t="str">
        <f t="shared" si="11"/>
        <v>CAD Interface Forms/Report Writing Tool</v>
      </c>
      <c r="D151" s="12">
        <f t="shared" si="12"/>
        <v>0</v>
      </c>
      <c r="E151" s="12">
        <f>COUNTIF(Forms!$D:$D,"Minimal")</f>
        <v>0</v>
      </c>
      <c r="F151" s="12">
        <f>Forms!H16</f>
        <v>0</v>
      </c>
      <c r="G151" s="12">
        <f>Forms!H17</f>
        <v>0</v>
      </c>
      <c r="H151" s="12">
        <f>Forms!H18</f>
        <v>0</v>
      </c>
      <c r="I151" s="12">
        <f>Forms!H19</f>
        <v>0</v>
      </c>
    </row>
    <row r="152" spans="2:9" ht="20.100000000000001" customHeight="1" x14ac:dyDescent="0.3">
      <c r="B152" s="11"/>
      <c r="C152" s="12" t="str">
        <f t="shared" si="11"/>
        <v>CAD Interface Hazardous Materials</v>
      </c>
      <c r="D152" s="12">
        <f t="shared" si="12"/>
        <v>0</v>
      </c>
      <c r="E152" s="12">
        <f>COUNTIF('Hazardous Materials'!$D:$D,"Minimal")</f>
        <v>0</v>
      </c>
      <c r="F152" s="12">
        <f>'Hazardous Materials'!H17</f>
        <v>0</v>
      </c>
      <c r="G152" s="12">
        <f>'Hazardous Materials'!H18</f>
        <v>0</v>
      </c>
      <c r="H152" s="12">
        <f>'Hazardous Materials'!H20</f>
        <v>0</v>
      </c>
      <c r="I152" s="12">
        <f>'Hazardous Materials'!H21</f>
        <v>0</v>
      </c>
    </row>
    <row r="153" spans="2:9" ht="20.100000000000001" customHeight="1" x14ac:dyDescent="0.3">
      <c r="B153" s="11"/>
      <c r="C153" s="12" t="str">
        <f t="shared" si="11"/>
        <v>CAD Interface Logging Recorder</v>
      </c>
      <c r="D153" s="12">
        <f t="shared" si="12"/>
        <v>0</v>
      </c>
      <c r="E153" s="12">
        <f>COUNTIF('Logging Recorder'!$D:$D,"Minimal")</f>
        <v>6</v>
      </c>
      <c r="F153" s="12">
        <f>'Logging Recorder'!H16</f>
        <v>6</v>
      </c>
      <c r="G153" s="12">
        <f>'Logging Recorder'!H17</f>
        <v>0</v>
      </c>
      <c r="H153" s="12">
        <f>'Logging Recorder'!H18</f>
        <v>0</v>
      </c>
      <c r="I153" s="12">
        <f>'Logging Recorder'!H19</f>
        <v>0</v>
      </c>
    </row>
    <row r="154" spans="2:9" ht="20.100000000000001" customHeight="1" x14ac:dyDescent="0.3">
      <c r="B154" s="11"/>
      <c r="C154" s="12" t="str">
        <f t="shared" si="11"/>
        <v>CAD Interface NextGen 911</v>
      </c>
      <c r="D154" s="12">
        <f t="shared" si="12"/>
        <v>0</v>
      </c>
      <c r="E154" s="12">
        <f>COUNTIF(NextGen!$D:$D,"Minimal")</f>
        <v>9</v>
      </c>
      <c r="F154" s="12">
        <f>NextGen!H16</f>
        <v>9</v>
      </c>
      <c r="G154" s="12">
        <f>NextGen!H17</f>
        <v>0</v>
      </c>
      <c r="H154" s="12">
        <f>NextGen!H18</f>
        <v>0</v>
      </c>
      <c r="I154" s="12">
        <f>NextGen!H19</f>
        <v>0</v>
      </c>
    </row>
    <row r="155" spans="2:9" ht="20.100000000000001" customHeight="1" x14ac:dyDescent="0.3">
      <c r="B155" s="11"/>
      <c r="C155" s="12" t="str">
        <f t="shared" si="11"/>
        <v>CAD Interface PSAP Master Clock</v>
      </c>
      <c r="D155" s="12">
        <f t="shared" si="12"/>
        <v>0</v>
      </c>
      <c r="E155" s="12">
        <f>COUNTIF('PSAP Master Clock'!$D:$D,"Minimal")</f>
        <v>12</v>
      </c>
      <c r="F155" s="12">
        <f>'PSAP Master Clock'!H16</f>
        <v>12</v>
      </c>
      <c r="G155" s="12">
        <f>'PSAP Master Clock'!H17</f>
        <v>0</v>
      </c>
      <c r="H155" s="12">
        <f>'PSAP Master Clock'!H18</f>
        <v>0</v>
      </c>
      <c r="I155" s="12">
        <f>'PSAP Master Clock'!H19</f>
        <v>0</v>
      </c>
    </row>
    <row r="156" spans="2:9" ht="20.100000000000001" customHeight="1" x14ac:dyDescent="0.3">
      <c r="B156" s="11"/>
      <c r="C156" s="12" t="str">
        <f t="shared" si="11"/>
        <v>CAD Interface Pictometry</v>
      </c>
      <c r="D156" s="12">
        <f t="shared" si="12"/>
        <v>0</v>
      </c>
      <c r="E156" s="12">
        <f>COUNTIF(Pictometry!$D:$D,"Minimal")</f>
        <v>0</v>
      </c>
      <c r="F156" s="12">
        <f>Pictometry!H16</f>
        <v>0</v>
      </c>
      <c r="G156" s="12">
        <f>Pictometry!H17</f>
        <v>0</v>
      </c>
      <c r="H156" s="12">
        <f>Pictometry!H18</f>
        <v>0</v>
      </c>
      <c r="I156" s="12">
        <f>Pictometry!H19</f>
        <v>0</v>
      </c>
    </row>
    <row r="157" spans="2:9" ht="20.100000000000001" customHeight="1" x14ac:dyDescent="0.3">
      <c r="B157" s="11"/>
      <c r="C157" s="12" t="str">
        <f t="shared" si="11"/>
        <v>CAD Interface Radio System</v>
      </c>
      <c r="D157" s="12">
        <f t="shared" si="12"/>
        <v>0</v>
      </c>
      <c r="E157" s="12">
        <f>COUNTIF('Radio System'!$D:$D,"Minimal")</f>
        <v>9</v>
      </c>
      <c r="F157" s="12">
        <f>'Radio System'!H17</f>
        <v>9</v>
      </c>
      <c r="G157" s="12">
        <f>'Radio System'!H18</f>
        <v>0</v>
      </c>
      <c r="H157" s="12">
        <f>'Radio System'!H19</f>
        <v>0</v>
      </c>
      <c r="I157" s="12">
        <f>'Radio System'!H20</f>
        <v>0</v>
      </c>
    </row>
    <row r="158" spans="2:9" ht="20.100000000000001" customHeight="1" x14ac:dyDescent="0.3">
      <c r="B158" s="11"/>
      <c r="C158" s="12" t="str">
        <f t="shared" si="11"/>
        <v>CAD Interface Rip and Run</v>
      </c>
      <c r="D158" s="12">
        <f t="shared" si="12"/>
        <v>0</v>
      </c>
      <c r="E158" s="12">
        <f>COUNTIF('Rip and Run'!$D:$D,"Minimal")</f>
        <v>27</v>
      </c>
      <c r="F158" s="12">
        <f>'Rip and Run'!H17</f>
        <v>27</v>
      </c>
      <c r="G158" s="12">
        <f>'Rip and Run'!H18</f>
        <v>0</v>
      </c>
      <c r="H158" s="12">
        <f>'Rip and Run'!H19</f>
        <v>0</v>
      </c>
      <c r="I158" s="12">
        <f>'Rip and Run'!H20</f>
        <v>0</v>
      </c>
    </row>
    <row r="159" spans="2:9" ht="20.100000000000001" customHeight="1" x14ac:dyDescent="0.3">
      <c r="B159" s="11"/>
      <c r="C159" s="12" t="str">
        <f t="shared" si="11"/>
        <v>CAD Interface Staffing</v>
      </c>
      <c r="D159" s="12">
        <f t="shared" si="12"/>
        <v>0</v>
      </c>
      <c r="E159" s="12">
        <f>COUNTIF(Staffing!$D:$D,"Minimal")</f>
        <v>147</v>
      </c>
      <c r="F159" s="12">
        <f>Staffing!H16</f>
        <v>147</v>
      </c>
      <c r="G159" s="12">
        <f>Staffing!H17</f>
        <v>0</v>
      </c>
      <c r="H159" s="12">
        <f>Staffing!H18</f>
        <v>0</v>
      </c>
      <c r="I159" s="12">
        <f>Staffing!H19</f>
        <v>0</v>
      </c>
    </row>
    <row r="160" spans="2:9" ht="20.100000000000001" customHeight="1" x14ac:dyDescent="0.3">
      <c r="B160" s="11"/>
      <c r="C160" s="12" t="str">
        <f t="shared" si="11"/>
        <v>CAD Interface LE State / NCIC</v>
      </c>
      <c r="D160" s="12">
        <f t="shared" si="12"/>
        <v>0</v>
      </c>
      <c r="E160" s="12">
        <f>COUNTIF('State NCIC Interface'!$D:$D,"Minimal")</f>
        <v>5</v>
      </c>
      <c r="F160" s="12">
        <f>'State NCIC Interface'!H17</f>
        <v>5</v>
      </c>
      <c r="G160" s="12">
        <f>'State NCIC Interface'!H18</f>
        <v>0</v>
      </c>
      <c r="H160" s="12">
        <f>'State NCIC Interface'!H19</f>
        <v>0</v>
      </c>
      <c r="I160" s="12">
        <f>'State NCIC Interface'!H20</f>
        <v>0</v>
      </c>
    </row>
    <row r="161" spans="2:9" ht="20.100000000000001" customHeight="1" x14ac:dyDescent="0.3">
      <c r="B161" s="11"/>
      <c r="C161" s="12" t="str">
        <f t="shared" si="11"/>
        <v>CAD Interface TDD / TDY</v>
      </c>
      <c r="D161" s="12">
        <f t="shared" si="12"/>
        <v>0</v>
      </c>
      <c r="E161" s="12">
        <f>COUNTIF('TDD-TTY'!$D:$D,"Minimal")</f>
        <v>1</v>
      </c>
      <c r="F161" s="12">
        <f>'TDD-TTY'!H17</f>
        <v>1</v>
      </c>
      <c r="G161" s="12">
        <f>'TDD-TTY'!H18</f>
        <v>0</v>
      </c>
      <c r="H161" s="12">
        <f>'TDD-TTY'!H19</f>
        <v>0</v>
      </c>
      <c r="I161" s="12">
        <f>'TDD-TTY'!H20</f>
        <v>0</v>
      </c>
    </row>
    <row r="162" spans="2:9" ht="20.100000000000001" customHeight="1" x14ac:dyDescent="0.3">
      <c r="B162" s="11"/>
      <c r="C162" s="12" t="str">
        <f t="shared" si="11"/>
        <v>CAD Interface Web CAD</v>
      </c>
      <c r="D162" s="12">
        <f t="shared" si="12"/>
        <v>0</v>
      </c>
      <c r="E162" s="12">
        <f>COUNTIF('Web CAD Interface'!$D:$D,"Minimal")</f>
        <v>1</v>
      </c>
      <c r="F162" s="12">
        <f>'Web CAD Interface'!H16</f>
        <v>1</v>
      </c>
      <c r="G162" s="12">
        <f>'Web CAD Interface'!H17</f>
        <v>0</v>
      </c>
      <c r="H162" s="12">
        <f>'Web CAD Interface'!H18</f>
        <v>0</v>
      </c>
      <c r="I162" s="12">
        <f>'Web CAD Interface'!H19</f>
        <v>0</v>
      </c>
    </row>
    <row r="163" spans="2:9" ht="3.75" customHeight="1" x14ac:dyDescent="0.3">
      <c r="B163" s="370"/>
      <c r="C163" s="370"/>
      <c r="D163" s="370"/>
      <c r="E163" s="370"/>
      <c r="F163" s="370"/>
      <c r="G163" s="370"/>
      <c r="H163" s="370"/>
      <c r="I163" s="370"/>
    </row>
    <row r="164" spans="2:9" ht="14.25" hidden="1" customHeight="1" x14ac:dyDescent="0.3"/>
    <row r="165" spans="2:9" x14ac:dyDescent="0.3"/>
    <row r="166" spans="2:9" x14ac:dyDescent="0.3"/>
    <row r="167" spans="2:9" x14ac:dyDescent="0.3"/>
    <row r="168" spans="2:9" x14ac:dyDescent="0.3"/>
    <row r="169" spans="2:9" x14ac:dyDescent="0.3"/>
    <row r="170" spans="2:9" x14ac:dyDescent="0.3"/>
    <row r="171" spans="2:9" x14ac:dyDescent="0.3"/>
    <row r="172" spans="2:9" x14ac:dyDescent="0.3"/>
    <row r="173" spans="2:9" x14ac:dyDescent="0.3"/>
    <row r="174" spans="2:9" x14ac:dyDescent="0.3"/>
    <row r="175" spans="2:9" x14ac:dyDescent="0.3"/>
  </sheetData>
  <sheetProtection algorithmName="SHA-512" hashValue="EGpdPwx4Y7P21uXFNEq8eOsyluo+xlOmdqEeZf45HKFY2jpk5rcgOgzxzoFrnPy1V0VvfxL1UTfNSvhgGEQkAQ==" saltValue="F+xFQq6JPRKOr3eZ9mZSAA==" spinCount="100000" sheet="1" objects="1" scenarios="1"/>
  <mergeCells count="2">
    <mergeCell ref="B163:I163"/>
    <mergeCell ref="B2:I2"/>
  </mergeCells>
  <pageMargins left="0.7" right="0.7" top="0.75" bottom="0.75" header="0.3" footer="0.3"/>
  <pageSetup scale="48" fitToHeight="0" orientation="portrait" horizontalDpi="300" verticalDpi="300" r:id="rId1"/>
  <headerFooter>
    <oddHeader>&amp;CLos Alamos, NM
&amp;F&amp;R&amp;A</oddHeader>
    <oddFooter>&amp;LTSSI Consulting LLC, June 2015&amp;CPage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90EF-7EFB-4078-9F6C-EAD96C5AC721}">
  <sheetPr>
    <tabColor rgb="FFFFCC00"/>
  </sheetPr>
  <dimension ref="A1:M20"/>
  <sheetViews>
    <sheetView showGridLines="0" zoomScaleNormal="100" workbookViewId="0">
      <selection activeCell="F4" sqref="F4"/>
    </sheetView>
  </sheetViews>
  <sheetFormatPr defaultColWidth="0" defaultRowHeight="15" customHeight="1"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3" customHeight="1" thickBot="1" x14ac:dyDescent="0.35"/>
    <row r="2" spans="2:12" ht="129" customHeight="1" thickBot="1" x14ac:dyDescent="0.35">
      <c r="B2" s="102" t="s">
        <v>44</v>
      </c>
      <c r="C2" s="102" t="s">
        <v>45</v>
      </c>
      <c r="D2" s="102" t="s">
        <v>46</v>
      </c>
      <c r="E2" s="102" t="s">
        <v>283</v>
      </c>
      <c r="F2" s="102" t="s">
        <v>42</v>
      </c>
      <c r="G2" s="103" t="s">
        <v>48</v>
      </c>
      <c r="H2" s="103" t="s">
        <v>49</v>
      </c>
      <c r="I2" s="104" t="s">
        <v>50</v>
      </c>
      <c r="J2" s="104" t="s">
        <v>51</v>
      </c>
      <c r="K2" s="105" t="s">
        <v>14</v>
      </c>
      <c r="L2" s="106" t="s">
        <v>52</v>
      </c>
    </row>
    <row r="3" spans="2:12" ht="16.2" thickBot="1" x14ac:dyDescent="0.35">
      <c r="B3" s="45" t="s">
        <v>284</v>
      </c>
      <c r="C3" s="8"/>
      <c r="D3" s="8"/>
      <c r="E3" s="8"/>
      <c r="F3" s="8"/>
      <c r="G3" s="34" t="s">
        <v>54</v>
      </c>
      <c r="H3" s="7">
        <f>COUNTA(D4:D478)</f>
        <v>6</v>
      </c>
      <c r="I3" s="24"/>
      <c r="J3" s="25" t="s">
        <v>55</v>
      </c>
      <c r="K3" s="26">
        <f>SUM(K4:K478)</f>
        <v>0</v>
      </c>
      <c r="L3" s="46"/>
    </row>
    <row r="4" spans="2:12" ht="41.4" x14ac:dyDescent="0.3">
      <c r="B4" s="48" t="s">
        <v>285</v>
      </c>
      <c r="C4" s="2">
        <v>1</v>
      </c>
      <c r="D4" s="159" t="s">
        <v>11</v>
      </c>
      <c r="E4" s="60" t="s">
        <v>286</v>
      </c>
      <c r="F4" s="176" t="s">
        <v>43</v>
      </c>
      <c r="G4" s="177" t="s">
        <v>58</v>
      </c>
      <c r="H4" s="178">
        <f>COUNTIF(F4:F478,"Select from Drop Down")</f>
        <v>6</v>
      </c>
      <c r="I4" s="179">
        <f t="shared" ref="I4:I9" si="0">VLOOKUP($D4,SpecData,2,FALSE)</f>
        <v>1</v>
      </c>
      <c r="J4" s="180">
        <f t="shared" ref="J4:J9" si="1">VLOOKUP($F4,AvailabilityData,2,FALSE)</f>
        <v>0</v>
      </c>
      <c r="K4" s="181">
        <f t="shared" ref="K4:K9" si="2">I4*J4</f>
        <v>0</v>
      </c>
      <c r="L4" s="47"/>
    </row>
    <row r="5" spans="2:12" ht="30" customHeight="1" x14ac:dyDescent="0.3">
      <c r="B5" s="48" t="str">
        <f>IF(C5="","",$B$4)</f>
        <v>IReg</v>
      </c>
      <c r="C5" s="2">
        <f>IF(ISTEXT(D5),MAX($C$4:$C4)+1,"")</f>
        <v>2</v>
      </c>
      <c r="D5" s="159" t="s">
        <v>11</v>
      </c>
      <c r="E5" s="60" t="s">
        <v>287</v>
      </c>
      <c r="F5" s="176" t="s">
        <v>43</v>
      </c>
      <c r="G5" s="177" t="s">
        <v>60</v>
      </c>
      <c r="H5" s="178">
        <f>COUNTIF(F4:F478,"Function Available")</f>
        <v>0</v>
      </c>
      <c r="I5" s="179">
        <f t="shared" si="0"/>
        <v>1</v>
      </c>
      <c r="J5" s="180">
        <f t="shared" si="1"/>
        <v>0</v>
      </c>
      <c r="K5" s="181">
        <f t="shared" si="2"/>
        <v>0</v>
      </c>
      <c r="L5" s="47"/>
    </row>
    <row r="6" spans="2:12" ht="30" customHeight="1" x14ac:dyDescent="0.3">
      <c r="B6" s="48" t="str">
        <f>IF(C6="","",$B$4)</f>
        <v>IReg</v>
      </c>
      <c r="C6" s="2">
        <f>IF(ISTEXT(D6),MAX($C$4:$C5)+1,"")</f>
        <v>3</v>
      </c>
      <c r="D6" s="159" t="s">
        <v>11</v>
      </c>
      <c r="E6" s="60" t="s">
        <v>288</v>
      </c>
      <c r="F6" s="176" t="s">
        <v>43</v>
      </c>
      <c r="G6" s="177" t="s">
        <v>62</v>
      </c>
      <c r="H6" s="184">
        <f>COUNTIF(F4:F478,"Function Not Available")</f>
        <v>0</v>
      </c>
      <c r="I6" s="179">
        <f t="shared" si="0"/>
        <v>1</v>
      </c>
      <c r="J6" s="180">
        <f t="shared" si="1"/>
        <v>0</v>
      </c>
      <c r="K6" s="181">
        <f t="shared" si="2"/>
        <v>0</v>
      </c>
      <c r="L6" s="47"/>
    </row>
    <row r="7" spans="2:12" ht="30" customHeight="1" x14ac:dyDescent="0.3">
      <c r="B7" s="48" t="str">
        <f>IF(C7="","",$B$4)</f>
        <v>IReg</v>
      </c>
      <c r="C7" s="2">
        <f>IF(ISTEXT(D7),MAX($C$4:$C6)+1,"")</f>
        <v>4</v>
      </c>
      <c r="D7" s="159" t="s">
        <v>11</v>
      </c>
      <c r="E7" s="60" t="s">
        <v>289</v>
      </c>
      <c r="F7" s="176" t="s">
        <v>43</v>
      </c>
      <c r="G7" s="177" t="s">
        <v>64</v>
      </c>
      <c r="H7" s="184">
        <f>COUNTIF(F4:F478,"Exception")</f>
        <v>0</v>
      </c>
      <c r="I7" s="179">
        <f t="shared" si="0"/>
        <v>1</v>
      </c>
      <c r="J7" s="180">
        <f t="shared" si="1"/>
        <v>0</v>
      </c>
      <c r="K7" s="181">
        <f t="shared" si="2"/>
        <v>0</v>
      </c>
      <c r="L7" s="47"/>
    </row>
    <row r="8" spans="2:12" ht="41.4" x14ac:dyDescent="0.3">
      <c r="B8" s="48" t="str">
        <f>IF(C8="","",$B$4)</f>
        <v>IReg</v>
      </c>
      <c r="C8" s="2">
        <f>IF(ISTEXT(D8),MAX($C$4:$C7)+1,"")</f>
        <v>5</v>
      </c>
      <c r="D8" s="159" t="s">
        <v>11</v>
      </c>
      <c r="E8" s="238" t="s">
        <v>290</v>
      </c>
      <c r="F8" s="176" t="s">
        <v>43</v>
      </c>
      <c r="G8" s="177" t="s">
        <v>66</v>
      </c>
      <c r="H8" s="185">
        <f>COUNTIFS(D:D,"=Crucial",F:F,"=Select From Drop Down")</f>
        <v>0</v>
      </c>
      <c r="I8" s="179">
        <f t="shared" si="0"/>
        <v>1</v>
      </c>
      <c r="J8" s="180">
        <f t="shared" si="1"/>
        <v>0</v>
      </c>
      <c r="K8" s="181">
        <f t="shared" si="2"/>
        <v>0</v>
      </c>
      <c r="L8" s="47"/>
    </row>
    <row r="9" spans="2:12" ht="30" customHeight="1" thickBot="1" x14ac:dyDescent="0.35">
      <c r="B9" s="52" t="str">
        <f>IF(C9="","",$B$4)</f>
        <v>IReg</v>
      </c>
      <c r="C9" s="53">
        <f>IF(ISTEXT(D9),MAX($C$4:$C8)+1,"")</f>
        <v>6</v>
      </c>
      <c r="D9" s="168" t="s">
        <v>11</v>
      </c>
      <c r="E9" s="78" t="s">
        <v>291</v>
      </c>
      <c r="F9" s="243" t="s">
        <v>43</v>
      </c>
      <c r="G9" s="201" t="s">
        <v>68</v>
      </c>
      <c r="H9" s="202">
        <f>COUNTIFS(D:D,"=Crucial",F:F,"=Function Available")</f>
        <v>0</v>
      </c>
      <c r="I9" s="197">
        <f t="shared" si="0"/>
        <v>1</v>
      </c>
      <c r="J9" s="198">
        <f t="shared" si="1"/>
        <v>0</v>
      </c>
      <c r="K9" s="199">
        <f t="shared" si="2"/>
        <v>0</v>
      </c>
      <c r="L9" s="54"/>
    </row>
    <row r="10" spans="2:12" ht="15" hidden="1" customHeight="1" x14ac:dyDescent="0.3">
      <c r="B10" s="61"/>
      <c r="C10" s="61"/>
      <c r="D10" s="171"/>
      <c r="E10" s="239"/>
      <c r="F10" s="121"/>
      <c r="G10" s="34" t="s">
        <v>70</v>
      </c>
      <c r="H10" s="122">
        <f>COUNTIFS(D:D,"=Crucial",F:F,"=Function Not Available")</f>
        <v>0</v>
      </c>
      <c r="I10" s="123"/>
      <c r="J10" s="124"/>
      <c r="K10" s="123"/>
      <c r="L10" s="173"/>
    </row>
    <row r="11" spans="2:12" ht="15" hidden="1" customHeight="1" x14ac:dyDescent="0.3">
      <c r="B11" s="73"/>
      <c r="C11" s="73"/>
      <c r="D11" s="240"/>
      <c r="E11" s="241"/>
      <c r="F11" s="125"/>
      <c r="G11" s="29" t="s">
        <v>72</v>
      </c>
      <c r="H11" s="126">
        <f>COUNTIFS(D:D,"=Crucial",F:F,"=Exception")</f>
        <v>0</v>
      </c>
      <c r="I11" s="127"/>
      <c r="J11" s="128"/>
      <c r="K11" s="127"/>
      <c r="L11" s="161"/>
    </row>
    <row r="12" spans="2:12" ht="15" hidden="1" customHeight="1" x14ac:dyDescent="0.3">
      <c r="B12" s="73"/>
      <c r="C12" s="73"/>
      <c r="D12" s="240"/>
      <c r="E12" s="242"/>
      <c r="F12" s="125"/>
      <c r="G12" s="34" t="s">
        <v>74</v>
      </c>
      <c r="H12" s="122">
        <f>COUNTIFS(D:D,"=Important",F:F,"=Select From Drop Down")</f>
        <v>0</v>
      </c>
      <c r="I12" s="127"/>
      <c r="J12" s="128"/>
      <c r="K12" s="127"/>
      <c r="L12" s="161"/>
    </row>
    <row r="13" spans="2:12" ht="15" hidden="1" customHeight="1" x14ac:dyDescent="0.3">
      <c r="B13" s="73"/>
      <c r="C13" s="73"/>
      <c r="D13" s="240"/>
      <c r="E13" s="242"/>
      <c r="F13" s="125"/>
      <c r="G13" s="34" t="s">
        <v>76</v>
      </c>
      <c r="H13" s="122">
        <f>COUNTIFS(D:D,"=Important",F:F,"=Function Available")</f>
        <v>0</v>
      </c>
      <c r="I13" s="127"/>
      <c r="J13" s="128"/>
      <c r="K13" s="127"/>
      <c r="L13" s="161"/>
    </row>
    <row r="14" spans="2:12" ht="15" hidden="1" customHeight="1" x14ac:dyDescent="0.3">
      <c r="B14" s="73"/>
      <c r="C14" s="73"/>
      <c r="D14" s="240"/>
      <c r="E14" s="242"/>
      <c r="F14" s="125"/>
      <c r="G14" s="29" t="s">
        <v>78</v>
      </c>
      <c r="H14" s="126">
        <f>COUNTIFS(D:D,"=Important",F:F,"=Function Not Available")</f>
        <v>0</v>
      </c>
      <c r="I14" s="127"/>
      <c r="J14" s="128"/>
      <c r="K14" s="127"/>
      <c r="L14" s="161"/>
    </row>
    <row r="15" spans="2:12" ht="15" hidden="1" customHeight="1" x14ac:dyDescent="0.3">
      <c r="B15" s="73"/>
      <c r="C15" s="73"/>
      <c r="D15" s="240"/>
      <c r="E15" s="242"/>
      <c r="F15" s="125"/>
      <c r="G15" s="29" t="s">
        <v>80</v>
      </c>
      <c r="H15" s="126">
        <f>COUNTIFS(D:D,"=Important",F:F,"=Exception")</f>
        <v>0</v>
      </c>
      <c r="I15" s="127"/>
      <c r="J15" s="128"/>
      <c r="K15" s="127"/>
      <c r="L15" s="161"/>
    </row>
    <row r="16" spans="2:12" ht="15" hidden="1" customHeight="1" x14ac:dyDescent="0.3">
      <c r="B16" s="73"/>
      <c r="C16" s="73"/>
      <c r="D16" s="240"/>
      <c r="E16" s="242"/>
      <c r="F16" s="125"/>
      <c r="G16" s="29" t="s">
        <v>82</v>
      </c>
      <c r="H16" s="126">
        <f>COUNTIFS(D:D,"=Minimal",F:F,"=Select From Drop Down")</f>
        <v>6</v>
      </c>
      <c r="I16" s="127"/>
      <c r="J16" s="128"/>
      <c r="K16" s="127"/>
      <c r="L16" s="161"/>
    </row>
    <row r="17" spans="2:12" ht="15" hidden="1" customHeight="1" x14ac:dyDescent="0.3">
      <c r="B17" s="73"/>
      <c r="C17" s="73"/>
      <c r="D17" s="240"/>
      <c r="E17" s="242"/>
      <c r="F17" s="125"/>
      <c r="G17" s="29" t="s">
        <v>84</v>
      </c>
      <c r="H17" s="126">
        <f>COUNTIFS(D:D,"=Minimal",F:F,"=Function Available")</f>
        <v>0</v>
      </c>
      <c r="I17" s="127"/>
      <c r="J17" s="128"/>
      <c r="K17" s="127"/>
      <c r="L17" s="161"/>
    </row>
    <row r="18" spans="2:12" ht="15" hidden="1" customHeight="1" x14ac:dyDescent="0.3">
      <c r="B18" s="73"/>
      <c r="C18" s="73"/>
      <c r="D18" s="240"/>
      <c r="E18" s="242"/>
      <c r="F18" s="125"/>
      <c r="G18" s="29" t="s">
        <v>86</v>
      </c>
      <c r="H18" s="126">
        <f>COUNTIFS(D:D,"=Minimal",F:F,"=Function Not Available")</f>
        <v>0</v>
      </c>
      <c r="I18" s="127"/>
      <c r="J18" s="128"/>
      <c r="K18" s="127"/>
      <c r="L18" s="161"/>
    </row>
    <row r="19" spans="2:12" ht="15" hidden="1" customHeight="1" x14ac:dyDescent="0.3">
      <c r="B19" s="73"/>
      <c r="C19" s="73"/>
      <c r="D19" s="240"/>
      <c r="E19" s="242"/>
      <c r="F19" s="125"/>
      <c r="G19" s="29" t="s">
        <v>88</v>
      </c>
      <c r="H19" s="126">
        <f>COUNTIFS(D:D,"=Minimal",F:F,"=Exception")</f>
        <v>0</v>
      </c>
      <c r="I19" s="127"/>
      <c r="J19" s="128"/>
      <c r="K19" s="127"/>
      <c r="L19" s="161"/>
    </row>
    <row r="20" spans="2:12" ht="15" customHeight="1" x14ac:dyDescent="0.3"/>
  </sheetData>
  <sheetProtection algorithmName="SHA-512" hashValue="elkNJtjZ0erPaT1ywM3zgo7K3t101zCaozND6KryDcJjmphif2keuaYx9i4N+DKx3CTYiXOCI+FVZAviTMvvhQ==" saltValue="bPLrct67Vn42dmsPqqDAHA==" spinCount="100000" sheet="1" selectLockedCells="1"/>
  <conditionalFormatting sqref="D4:D19">
    <cfRule type="cellIs" dxfId="275" priority="4" operator="equal">
      <formula>"Important"</formula>
    </cfRule>
    <cfRule type="cellIs" dxfId="274" priority="5" operator="equal">
      <formula>"Crucial"</formula>
    </cfRule>
    <cfRule type="cellIs" dxfId="273" priority="6" operator="equal">
      <formula>"N/A"</formula>
    </cfRule>
  </conditionalFormatting>
  <conditionalFormatting sqref="F4:F19">
    <cfRule type="cellIs" dxfId="272" priority="1" operator="equal">
      <formula>"Function Not Available"</formula>
    </cfRule>
    <cfRule type="cellIs" dxfId="271" priority="2" operator="equal">
      <formula>"Function Available"</formula>
    </cfRule>
    <cfRule type="cellIs" dxfId="270"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9" xr:uid="{2C00267A-9939-41AA-970E-3FE534F18B6F}">
      <formula1>AvailabilityType</formula1>
    </dataValidation>
    <dataValidation type="list" allowBlank="1" showInputMessage="1" showErrorMessage="1" sqref="D4:D9" xr:uid="{1F1D7F1A-D24F-4D09-954C-996EEC8C044E}">
      <formula1>SpecType</formula1>
    </dataValidation>
    <dataValidation type="list" allowBlank="1" showInputMessage="1" showErrorMessage="1" sqref="F4:F5" xr:uid="{0AE88939-D7E9-43FA-B172-8E592E03D61F}">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CC00"/>
  </sheetPr>
  <dimension ref="A1:M38"/>
  <sheetViews>
    <sheetView showGridLines="0" zoomScale="80" zoomScaleNormal="8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4.2" customHeight="1" thickBot="1" x14ac:dyDescent="0.35"/>
    <row r="2" spans="2:12" s="158" customFormat="1" ht="129" customHeight="1" thickBot="1" x14ac:dyDescent="0.3">
      <c r="B2" s="102" t="s">
        <v>44</v>
      </c>
      <c r="C2" s="102" t="s">
        <v>45</v>
      </c>
      <c r="D2" s="102" t="s">
        <v>46</v>
      </c>
      <c r="E2" s="102" t="s">
        <v>292</v>
      </c>
      <c r="F2" s="102" t="s">
        <v>42</v>
      </c>
      <c r="G2" s="103" t="s">
        <v>48</v>
      </c>
      <c r="H2" s="103" t="s">
        <v>49</v>
      </c>
      <c r="I2" s="104" t="s">
        <v>50</v>
      </c>
      <c r="J2" s="104" t="s">
        <v>51</v>
      </c>
      <c r="K2" s="105" t="s">
        <v>14</v>
      </c>
      <c r="L2" s="106" t="s">
        <v>52</v>
      </c>
    </row>
    <row r="3" spans="2:12" ht="16.2" thickBot="1" x14ac:dyDescent="0.35">
      <c r="B3" s="45" t="s">
        <v>293</v>
      </c>
      <c r="C3" s="8"/>
      <c r="D3" s="8"/>
      <c r="E3" s="8"/>
      <c r="F3" s="8"/>
      <c r="G3" s="34" t="s">
        <v>54</v>
      </c>
      <c r="H3" s="7">
        <f>COUNTA(D4:D502)</f>
        <v>30</v>
      </c>
      <c r="I3" s="24"/>
      <c r="J3" s="25" t="s">
        <v>55</v>
      </c>
      <c r="K3" s="26">
        <f>SUM(K4:K502)</f>
        <v>0</v>
      </c>
      <c r="L3" s="46"/>
    </row>
    <row r="4" spans="2:12" ht="46.5" customHeight="1" x14ac:dyDescent="0.3">
      <c r="B4" s="244" t="s">
        <v>294</v>
      </c>
      <c r="C4" s="2">
        <v>1</v>
      </c>
      <c r="D4" s="159" t="s">
        <v>10</v>
      </c>
      <c r="E4" s="163" t="s">
        <v>295</v>
      </c>
      <c r="F4" s="176" t="s">
        <v>43</v>
      </c>
      <c r="G4" s="177" t="s">
        <v>58</v>
      </c>
      <c r="H4" s="178">
        <f>COUNTIF(F4:F502,"Select from Drop Down")</f>
        <v>30</v>
      </c>
      <c r="I4" s="179">
        <f>VLOOKUP($D4,SpecData,2,FALSE)</f>
        <v>2</v>
      </c>
      <c r="J4" s="180">
        <f>VLOOKUP($F4,AvailabilityData,2,FALSE)</f>
        <v>0</v>
      </c>
      <c r="K4" s="181">
        <f>I4*J4</f>
        <v>0</v>
      </c>
      <c r="L4" s="47"/>
    </row>
    <row r="5" spans="2:12" ht="16.2" customHeight="1" x14ac:dyDescent="0.3">
      <c r="B5" s="245" t="s">
        <v>296</v>
      </c>
      <c r="C5" s="1"/>
      <c r="D5" s="3"/>
      <c r="E5" s="374"/>
      <c r="F5" s="374"/>
      <c r="G5" s="374"/>
      <c r="H5" s="374"/>
      <c r="I5" s="31"/>
      <c r="J5" s="31"/>
      <c r="K5" s="31"/>
      <c r="L5" s="246"/>
    </row>
    <row r="6" spans="2:12" ht="30" customHeight="1" x14ac:dyDescent="0.3">
      <c r="B6" s="48" t="str">
        <f>IF(C6="","",$B$4)</f>
        <v>IC2C</v>
      </c>
      <c r="C6" s="2">
        <v>2</v>
      </c>
      <c r="D6" s="159" t="s">
        <v>10</v>
      </c>
      <c r="E6" s="247" t="s">
        <v>297</v>
      </c>
      <c r="F6" s="176" t="s">
        <v>43</v>
      </c>
      <c r="G6" s="177" t="s">
        <v>60</v>
      </c>
      <c r="H6" s="178">
        <f>COUNTIF(F4:F502,"Function Available")</f>
        <v>0</v>
      </c>
      <c r="I6" s="179">
        <f>VLOOKUP($D6,SpecData,2,FALSE)</f>
        <v>2</v>
      </c>
      <c r="J6" s="180">
        <f>VLOOKUP($F6,AvailabilityData,2,FALSE)</f>
        <v>0</v>
      </c>
      <c r="K6" s="181">
        <f>I6*J6</f>
        <v>0</v>
      </c>
      <c r="L6" s="47"/>
    </row>
    <row r="7" spans="2:12" ht="30" customHeight="1" x14ac:dyDescent="0.3">
      <c r="B7" s="248" t="str">
        <f t="shared" ref="B7:B37" si="0">IF(C7="","",$B$4)</f>
        <v/>
      </c>
      <c r="C7" s="1" t="str">
        <f>IF(ISTEXT(D7),MAX($C6:$C$8)+1,"")</f>
        <v/>
      </c>
      <c r="D7" s="3"/>
      <c r="E7" s="226" t="s">
        <v>298</v>
      </c>
      <c r="F7" s="31"/>
      <c r="G7" s="31"/>
      <c r="H7" s="31"/>
      <c r="I7" s="31"/>
      <c r="J7" s="31"/>
      <c r="K7" s="31"/>
      <c r="L7" s="246"/>
    </row>
    <row r="8" spans="2:12" ht="30" customHeight="1" x14ac:dyDescent="0.3">
      <c r="B8" s="48" t="str">
        <f t="shared" si="0"/>
        <v>IC2C</v>
      </c>
      <c r="C8" s="2">
        <v>3</v>
      </c>
      <c r="D8" s="159" t="s">
        <v>10</v>
      </c>
      <c r="E8" s="227" t="s">
        <v>299</v>
      </c>
      <c r="F8" s="176" t="s">
        <v>43</v>
      </c>
      <c r="G8" s="177" t="s">
        <v>62</v>
      </c>
      <c r="H8" s="184">
        <f>COUNTIF(F4:F502,"Function Not Available")</f>
        <v>0</v>
      </c>
      <c r="I8" s="179">
        <f t="shared" ref="I8:I15" si="1">VLOOKUP($D8,SpecData,2,FALSE)</f>
        <v>2</v>
      </c>
      <c r="J8" s="180">
        <f t="shared" ref="J8:J15" si="2">VLOOKUP($F8,AvailabilityData,2,FALSE)</f>
        <v>0</v>
      </c>
      <c r="K8" s="220">
        <f t="shared" ref="K8:K15" si="3">I8*J8</f>
        <v>0</v>
      </c>
      <c r="L8" s="47"/>
    </row>
    <row r="9" spans="2:12" ht="30" customHeight="1" x14ac:dyDescent="0.3">
      <c r="B9" s="48" t="str">
        <f t="shared" si="0"/>
        <v>IC2C</v>
      </c>
      <c r="C9" s="2">
        <f>IF(ISTEXT(D9),MAX($C$8:$C8)+1,"")</f>
        <v>4</v>
      </c>
      <c r="D9" s="159" t="s">
        <v>10</v>
      </c>
      <c r="E9" s="228" t="s">
        <v>300</v>
      </c>
      <c r="F9" s="176" t="s">
        <v>43</v>
      </c>
      <c r="G9" s="177" t="s">
        <v>64</v>
      </c>
      <c r="H9" s="184">
        <f>COUNTIF(F4:F502,"Exception")</f>
        <v>0</v>
      </c>
      <c r="I9" s="179">
        <f t="shared" si="1"/>
        <v>2</v>
      </c>
      <c r="J9" s="180">
        <f t="shared" si="2"/>
        <v>0</v>
      </c>
      <c r="K9" s="181">
        <f t="shared" si="3"/>
        <v>0</v>
      </c>
      <c r="L9" s="47"/>
    </row>
    <row r="10" spans="2:12" ht="30" customHeight="1" x14ac:dyDescent="0.3">
      <c r="B10" s="48" t="str">
        <f t="shared" si="0"/>
        <v>IC2C</v>
      </c>
      <c r="C10" s="2">
        <f>IF(ISTEXT(D10),MAX($C$8:$C9)+1,"")</f>
        <v>5</v>
      </c>
      <c r="D10" s="159" t="s">
        <v>10</v>
      </c>
      <c r="E10" s="249" t="s">
        <v>301</v>
      </c>
      <c r="F10" s="176" t="s">
        <v>43</v>
      </c>
      <c r="G10" s="177" t="s">
        <v>66</v>
      </c>
      <c r="H10" s="185">
        <f>COUNTIFS(D:D,"=Crucial",F:F,"=Select From Drop Down")</f>
        <v>0</v>
      </c>
      <c r="I10" s="179">
        <f t="shared" si="1"/>
        <v>2</v>
      </c>
      <c r="J10" s="180">
        <f t="shared" si="2"/>
        <v>0</v>
      </c>
      <c r="K10" s="220">
        <f t="shared" si="3"/>
        <v>0</v>
      </c>
      <c r="L10" s="47"/>
    </row>
    <row r="11" spans="2:12" ht="30" customHeight="1" x14ac:dyDescent="0.3">
      <c r="B11" s="248" t="str">
        <f t="shared" si="0"/>
        <v/>
      </c>
      <c r="C11" s="1" t="str">
        <f>IF(ISTEXT(D11),MAX($C$8:$C10)+1,"")</f>
        <v/>
      </c>
      <c r="D11" s="3"/>
      <c r="E11" s="226" t="s">
        <v>302</v>
      </c>
      <c r="F11" s="115"/>
      <c r="G11" s="31"/>
      <c r="H11" s="31"/>
      <c r="I11" s="31"/>
      <c r="J11" s="31"/>
      <c r="K11" s="31"/>
      <c r="L11" s="246"/>
    </row>
    <row r="12" spans="2:12" ht="30" customHeight="1" x14ac:dyDescent="0.3">
      <c r="B12" s="48" t="str">
        <f t="shared" si="0"/>
        <v>IC2C</v>
      </c>
      <c r="C12" s="2">
        <v>6</v>
      </c>
      <c r="D12" s="159" t="s">
        <v>10</v>
      </c>
      <c r="E12" s="227" t="s">
        <v>303</v>
      </c>
      <c r="F12" s="176" t="s">
        <v>43</v>
      </c>
      <c r="G12" s="177" t="s">
        <v>68</v>
      </c>
      <c r="H12" s="185">
        <f>COUNTIFS(D:D,"=Crucial",F:F,"=Function Available")</f>
        <v>0</v>
      </c>
      <c r="I12" s="179">
        <f t="shared" si="1"/>
        <v>2</v>
      </c>
      <c r="J12" s="180">
        <f t="shared" si="2"/>
        <v>0</v>
      </c>
      <c r="K12" s="220">
        <f t="shared" si="3"/>
        <v>0</v>
      </c>
      <c r="L12" s="47"/>
    </row>
    <row r="13" spans="2:12" ht="30" customHeight="1" x14ac:dyDescent="0.3">
      <c r="B13" s="48" t="str">
        <f t="shared" si="0"/>
        <v>IC2C</v>
      </c>
      <c r="C13" s="2">
        <v>7</v>
      </c>
      <c r="D13" s="159" t="s">
        <v>10</v>
      </c>
      <c r="E13" s="228" t="s">
        <v>304</v>
      </c>
      <c r="F13" s="176" t="s">
        <v>43</v>
      </c>
      <c r="G13" s="177" t="s">
        <v>70</v>
      </c>
      <c r="H13" s="185">
        <f>COUNTIFS(D:D,"=Crucial",F:F,"=Function Not Available")</f>
        <v>0</v>
      </c>
      <c r="I13" s="179">
        <f t="shared" si="1"/>
        <v>2</v>
      </c>
      <c r="J13" s="180">
        <f t="shared" si="2"/>
        <v>0</v>
      </c>
      <c r="K13" s="220">
        <f t="shared" si="3"/>
        <v>0</v>
      </c>
      <c r="L13" s="47"/>
    </row>
    <row r="14" spans="2:12" ht="30" customHeight="1" x14ac:dyDescent="0.3">
      <c r="B14" s="48" t="str">
        <f t="shared" si="0"/>
        <v>IC2C</v>
      </c>
      <c r="C14" s="2">
        <f>IF(ISTEXT(D14),MAX($C$12:$C13)+1,"")</f>
        <v>8</v>
      </c>
      <c r="D14" s="159" t="s">
        <v>10</v>
      </c>
      <c r="E14" s="228" t="s">
        <v>305</v>
      </c>
      <c r="F14" s="176" t="s">
        <v>43</v>
      </c>
      <c r="G14" s="192" t="s">
        <v>72</v>
      </c>
      <c r="H14" s="221">
        <f>COUNTIFS(D:D,"=Crucial",F:F,"=Exception")</f>
        <v>0</v>
      </c>
      <c r="I14" s="189">
        <f t="shared" si="1"/>
        <v>2</v>
      </c>
      <c r="J14" s="179">
        <f t="shared" si="2"/>
        <v>0</v>
      </c>
      <c r="K14" s="224">
        <f t="shared" si="3"/>
        <v>0</v>
      </c>
      <c r="L14" s="49"/>
    </row>
    <row r="15" spans="2:12" ht="30" customHeight="1" x14ac:dyDescent="0.3">
      <c r="B15" s="48" t="str">
        <f t="shared" si="0"/>
        <v>IC2C</v>
      </c>
      <c r="C15" s="2">
        <f>IF(ISTEXT(D15),MAX($C$12:$C14)+1,"")</f>
        <v>9</v>
      </c>
      <c r="D15" s="159" t="s">
        <v>10</v>
      </c>
      <c r="E15" s="228" t="s">
        <v>306</v>
      </c>
      <c r="F15" s="176" t="s">
        <v>43</v>
      </c>
      <c r="G15" s="177" t="s">
        <v>74</v>
      </c>
      <c r="H15" s="185">
        <f>COUNTIFS(D:D,"=Important",F:F,"=Select From Drop Down")</f>
        <v>30</v>
      </c>
      <c r="I15" s="189">
        <f t="shared" si="1"/>
        <v>2</v>
      </c>
      <c r="J15" s="179">
        <f t="shared" si="2"/>
        <v>0</v>
      </c>
      <c r="K15" s="220">
        <f t="shared" si="3"/>
        <v>0</v>
      </c>
      <c r="L15" s="50"/>
    </row>
    <row r="16" spans="2:12" ht="30" customHeight="1" x14ac:dyDescent="0.3">
      <c r="B16" s="48" t="str">
        <f t="shared" si="0"/>
        <v>IC2C</v>
      </c>
      <c r="C16" s="2">
        <f>IF(ISTEXT(D16),MAX($C$12:$C15)+1,"")</f>
        <v>10</v>
      </c>
      <c r="D16" s="159" t="s">
        <v>10</v>
      </c>
      <c r="E16" s="162" t="s">
        <v>307</v>
      </c>
      <c r="F16" s="176" t="s">
        <v>43</v>
      </c>
      <c r="G16" s="177" t="s">
        <v>76</v>
      </c>
      <c r="H16" s="185">
        <f>COUNTIFS(D:D,"=Important",F:F,"=Function Available")</f>
        <v>0</v>
      </c>
      <c r="I16" s="179">
        <f>VLOOKUP($D16,SpecData,2,FALSE)</f>
        <v>2</v>
      </c>
      <c r="J16" s="180">
        <f>VLOOKUP($F16,AvailabilityData,2,FALSE)</f>
        <v>0</v>
      </c>
      <c r="K16" s="220">
        <f>I16*J16</f>
        <v>0</v>
      </c>
      <c r="L16" s="47"/>
    </row>
    <row r="17" spans="2:12" ht="30" customHeight="1" x14ac:dyDescent="0.3">
      <c r="B17" s="48" t="str">
        <f t="shared" si="0"/>
        <v>IC2C</v>
      </c>
      <c r="C17" s="2">
        <f>IF(ISTEXT(D17),MAX($C$12:$C16)+1,"")</f>
        <v>11</v>
      </c>
      <c r="D17" s="159" t="s">
        <v>10</v>
      </c>
      <c r="E17" s="160" t="s">
        <v>308</v>
      </c>
      <c r="F17" s="176" t="s">
        <v>43</v>
      </c>
      <c r="G17" s="192" t="s">
        <v>78</v>
      </c>
      <c r="H17" s="221">
        <f>COUNTIFS(D:D,"=Important",F:F,"=Function Not Available")</f>
        <v>0</v>
      </c>
      <c r="I17" s="222">
        <f>VLOOKUP($D17,SpecData,2,FALSE)</f>
        <v>2</v>
      </c>
      <c r="J17" s="223">
        <f>VLOOKUP($F17,AvailabilityData,2,FALSE)</f>
        <v>0</v>
      </c>
      <c r="K17" s="224">
        <f>I17*J17</f>
        <v>0</v>
      </c>
      <c r="L17" s="47"/>
    </row>
    <row r="18" spans="2:12" ht="30" customHeight="1" x14ac:dyDescent="0.3">
      <c r="B18" s="248" t="str">
        <f t="shared" si="0"/>
        <v/>
      </c>
      <c r="C18" s="1" t="str">
        <f>IF(ISTEXT(D18),MAX($C$12:$C17)+1,"")</f>
        <v/>
      </c>
      <c r="D18" s="3"/>
      <c r="E18" s="226" t="s">
        <v>309</v>
      </c>
      <c r="F18" s="115"/>
      <c r="G18" s="31"/>
      <c r="H18" s="31"/>
      <c r="I18" s="31"/>
      <c r="J18" s="31"/>
      <c r="K18" s="31"/>
      <c r="L18" s="246"/>
    </row>
    <row r="19" spans="2:12" ht="30" customHeight="1" x14ac:dyDescent="0.3">
      <c r="B19" s="48" t="str">
        <f t="shared" si="0"/>
        <v>IC2C</v>
      </c>
      <c r="C19" s="2">
        <f>IF(ISTEXT(D19),MAX($C$12:$C18)+1,"")</f>
        <v>12</v>
      </c>
      <c r="D19" s="159" t="s">
        <v>10</v>
      </c>
      <c r="E19" s="227" t="s">
        <v>310</v>
      </c>
      <c r="F19" s="176" t="s">
        <v>43</v>
      </c>
      <c r="G19" s="177" t="s">
        <v>80</v>
      </c>
      <c r="H19" s="185">
        <f>COUNTIFS(D:D,"=Important",F:F,"=Exception")</f>
        <v>0</v>
      </c>
      <c r="I19" s="179">
        <f t="shared" ref="I19:I30" si="4">VLOOKUP($D19,SpecData,2,FALSE)</f>
        <v>2</v>
      </c>
      <c r="J19" s="180">
        <f t="shared" ref="J19:J30" si="5">VLOOKUP($F19,AvailabilityData,2,FALSE)</f>
        <v>0</v>
      </c>
      <c r="K19" s="181">
        <f t="shared" ref="K19:K37" si="6">I19*J19</f>
        <v>0</v>
      </c>
      <c r="L19" s="51"/>
    </row>
    <row r="20" spans="2:12" ht="30" customHeight="1" x14ac:dyDescent="0.3">
      <c r="B20" s="48" t="str">
        <f t="shared" si="0"/>
        <v>IC2C</v>
      </c>
      <c r="C20" s="2">
        <f>IF(ISTEXT(D20),MAX($C$12:$C19)+1,"")</f>
        <v>13</v>
      </c>
      <c r="D20" s="159" t="s">
        <v>10</v>
      </c>
      <c r="E20" s="228" t="s">
        <v>311</v>
      </c>
      <c r="F20" s="176" t="s">
        <v>43</v>
      </c>
      <c r="G20" s="177" t="s">
        <v>82</v>
      </c>
      <c r="H20" s="185">
        <f>COUNTIFS(D:D,"=Minimal",F:F,"=Select From Drop Down")</f>
        <v>0</v>
      </c>
      <c r="I20" s="188">
        <f t="shared" si="4"/>
        <v>2</v>
      </c>
      <c r="J20" s="189">
        <f t="shared" si="5"/>
        <v>0</v>
      </c>
      <c r="K20" s="220">
        <f t="shared" si="6"/>
        <v>0</v>
      </c>
      <c r="L20" s="47"/>
    </row>
    <row r="21" spans="2:12" ht="30" customHeight="1" x14ac:dyDescent="0.3">
      <c r="B21" s="48" t="str">
        <f t="shared" si="0"/>
        <v>IC2C</v>
      </c>
      <c r="C21" s="2">
        <f>IF(ISTEXT(D21),MAX($C$12:$C20)+1,"")</f>
        <v>14</v>
      </c>
      <c r="D21" s="159" t="s">
        <v>10</v>
      </c>
      <c r="E21" s="228" t="s">
        <v>312</v>
      </c>
      <c r="F21" s="176" t="s">
        <v>43</v>
      </c>
      <c r="G21" s="177" t="s">
        <v>84</v>
      </c>
      <c r="H21" s="185">
        <f>COUNTIFS(D:D,"=Minimal",F:F,"=Function Available")</f>
        <v>0</v>
      </c>
      <c r="I21" s="188">
        <f t="shared" si="4"/>
        <v>2</v>
      </c>
      <c r="J21" s="189">
        <f t="shared" si="5"/>
        <v>0</v>
      </c>
      <c r="K21" s="220">
        <f t="shared" si="6"/>
        <v>0</v>
      </c>
      <c r="L21" s="47"/>
    </row>
    <row r="22" spans="2:12" ht="30" customHeight="1" x14ac:dyDescent="0.3">
      <c r="B22" s="48" t="str">
        <f t="shared" si="0"/>
        <v>IC2C</v>
      </c>
      <c r="C22" s="2">
        <f>IF(ISTEXT(D22),MAX($C$12:$C21)+1,"")</f>
        <v>15</v>
      </c>
      <c r="D22" s="159" t="s">
        <v>10</v>
      </c>
      <c r="E22" s="228" t="s">
        <v>313</v>
      </c>
      <c r="F22" s="176" t="s">
        <v>43</v>
      </c>
      <c r="G22" s="177" t="s">
        <v>86</v>
      </c>
      <c r="H22" s="185">
        <f>COUNTIFS(D:D,"=Minimal",F:F,"=Function Not Available")</f>
        <v>0</v>
      </c>
      <c r="I22" s="188">
        <f t="shared" si="4"/>
        <v>2</v>
      </c>
      <c r="J22" s="189">
        <f t="shared" si="5"/>
        <v>0</v>
      </c>
      <c r="K22" s="220">
        <f t="shared" si="6"/>
        <v>0</v>
      </c>
      <c r="L22" s="47"/>
    </row>
    <row r="23" spans="2:12" ht="30" customHeight="1" x14ac:dyDescent="0.3">
      <c r="B23" s="48" t="str">
        <f t="shared" si="0"/>
        <v>IC2C</v>
      </c>
      <c r="C23" s="2">
        <f>IF(ISTEXT(D23),MAX($C$12:$C22)+1,"")</f>
        <v>16</v>
      </c>
      <c r="D23" s="159" t="s">
        <v>10</v>
      </c>
      <c r="E23" s="162" t="s">
        <v>314</v>
      </c>
      <c r="F23" s="176" t="s">
        <v>43</v>
      </c>
      <c r="G23" s="177" t="s">
        <v>88</v>
      </c>
      <c r="H23" s="185">
        <f>COUNTIFS(D:D,"=Minimal",F:F,"=Exception")</f>
        <v>0</v>
      </c>
      <c r="I23" s="188">
        <f t="shared" si="4"/>
        <v>2</v>
      </c>
      <c r="J23" s="189">
        <f t="shared" si="5"/>
        <v>0</v>
      </c>
      <c r="K23" s="220">
        <f t="shared" si="6"/>
        <v>0</v>
      </c>
      <c r="L23" s="47"/>
    </row>
    <row r="24" spans="2:12" ht="45" customHeight="1" x14ac:dyDescent="0.3">
      <c r="B24" s="48" t="str">
        <f t="shared" si="0"/>
        <v>IC2C</v>
      </c>
      <c r="C24" s="2">
        <f>IF(ISTEXT(D24),MAX($C$12:$C23)+1,"")</f>
        <v>17</v>
      </c>
      <c r="D24" s="159" t="s">
        <v>10</v>
      </c>
      <c r="E24" s="162" t="s">
        <v>315</v>
      </c>
      <c r="F24" s="176" t="s">
        <v>43</v>
      </c>
      <c r="G24" s="177"/>
      <c r="H24" s="184"/>
      <c r="I24" s="188">
        <f t="shared" si="4"/>
        <v>2</v>
      </c>
      <c r="J24" s="189">
        <f t="shared" si="5"/>
        <v>0</v>
      </c>
      <c r="K24" s="220">
        <f t="shared" si="6"/>
        <v>0</v>
      </c>
      <c r="L24" s="47"/>
    </row>
    <row r="25" spans="2:12" ht="30" customHeight="1" x14ac:dyDescent="0.3">
      <c r="B25" s="48" t="str">
        <f t="shared" si="0"/>
        <v>IC2C</v>
      </c>
      <c r="C25" s="2">
        <f>IF(ISTEXT(D25),MAX($C$12:$C24)+1,"")</f>
        <v>18</v>
      </c>
      <c r="D25" s="159" t="s">
        <v>10</v>
      </c>
      <c r="E25" s="162" t="s">
        <v>316</v>
      </c>
      <c r="F25" s="176" t="s">
        <v>43</v>
      </c>
      <c r="G25" s="177"/>
      <c r="H25" s="184"/>
      <c r="I25" s="188">
        <f t="shared" si="4"/>
        <v>2</v>
      </c>
      <c r="J25" s="189">
        <f t="shared" si="5"/>
        <v>0</v>
      </c>
      <c r="K25" s="220">
        <f t="shared" si="6"/>
        <v>0</v>
      </c>
      <c r="L25" s="47"/>
    </row>
    <row r="26" spans="2:12" ht="30" customHeight="1" x14ac:dyDescent="0.3">
      <c r="B26" s="48" t="str">
        <f t="shared" si="0"/>
        <v>IC2C</v>
      </c>
      <c r="C26" s="2">
        <f>IF(ISTEXT(D26),MAX($C$12:$C25)+1,"")</f>
        <v>19</v>
      </c>
      <c r="D26" s="159" t="s">
        <v>10</v>
      </c>
      <c r="E26" s="250" t="s">
        <v>317</v>
      </c>
      <c r="F26" s="176" t="s">
        <v>43</v>
      </c>
      <c r="G26" s="177"/>
      <c r="H26" s="184"/>
      <c r="I26" s="188">
        <f t="shared" si="4"/>
        <v>2</v>
      </c>
      <c r="J26" s="189">
        <f t="shared" si="5"/>
        <v>0</v>
      </c>
      <c r="K26" s="220">
        <f t="shared" si="6"/>
        <v>0</v>
      </c>
      <c r="L26" s="47"/>
    </row>
    <row r="27" spans="2:12" ht="30" customHeight="1" x14ac:dyDescent="0.3">
      <c r="B27" s="48" t="str">
        <f t="shared" si="0"/>
        <v>IC2C</v>
      </c>
      <c r="C27" s="2">
        <f>IF(ISTEXT(D27),MAX($C$12:$C26)+1,"")</f>
        <v>20</v>
      </c>
      <c r="D27" s="159" t="s">
        <v>10</v>
      </c>
      <c r="E27" s="250" t="s">
        <v>318</v>
      </c>
      <c r="F27" s="176" t="s">
        <v>43</v>
      </c>
      <c r="G27" s="177"/>
      <c r="H27" s="184"/>
      <c r="I27" s="188">
        <f t="shared" si="4"/>
        <v>2</v>
      </c>
      <c r="J27" s="189">
        <f t="shared" si="5"/>
        <v>0</v>
      </c>
      <c r="K27" s="220">
        <f t="shared" si="6"/>
        <v>0</v>
      </c>
      <c r="L27" s="47"/>
    </row>
    <row r="28" spans="2:12" ht="30" customHeight="1" x14ac:dyDescent="0.3">
      <c r="B28" s="48" t="str">
        <f t="shared" si="0"/>
        <v>IC2C</v>
      </c>
      <c r="C28" s="2">
        <f>IF(ISTEXT(D28),MAX($C$12:$C27)+1,"")</f>
        <v>21</v>
      </c>
      <c r="D28" s="159" t="s">
        <v>10</v>
      </c>
      <c r="E28" s="250" t="s">
        <v>319</v>
      </c>
      <c r="F28" s="176" t="s">
        <v>43</v>
      </c>
      <c r="G28" s="177"/>
      <c r="H28" s="184"/>
      <c r="I28" s="188">
        <f t="shared" si="4"/>
        <v>2</v>
      </c>
      <c r="J28" s="189">
        <f t="shared" si="5"/>
        <v>0</v>
      </c>
      <c r="K28" s="220">
        <f t="shared" si="6"/>
        <v>0</v>
      </c>
      <c r="L28" s="47"/>
    </row>
    <row r="29" spans="2:12" ht="30" customHeight="1" x14ac:dyDescent="0.3">
      <c r="B29" s="48" t="str">
        <f t="shared" si="0"/>
        <v>IC2C</v>
      </c>
      <c r="C29" s="2">
        <f>IF(ISTEXT(D29),MAX($C$12:$C28)+1,"")</f>
        <v>22</v>
      </c>
      <c r="D29" s="159" t="s">
        <v>10</v>
      </c>
      <c r="E29" s="250" t="s">
        <v>320</v>
      </c>
      <c r="F29" s="176" t="s">
        <v>43</v>
      </c>
      <c r="G29" s="177"/>
      <c r="H29" s="184"/>
      <c r="I29" s="188">
        <f t="shared" si="4"/>
        <v>2</v>
      </c>
      <c r="J29" s="189">
        <f t="shared" si="5"/>
        <v>0</v>
      </c>
      <c r="K29" s="220">
        <f t="shared" si="6"/>
        <v>0</v>
      </c>
      <c r="L29" s="47"/>
    </row>
    <row r="30" spans="2:12" ht="45" customHeight="1" x14ac:dyDescent="0.3">
      <c r="B30" s="48" t="str">
        <f t="shared" si="0"/>
        <v>IC2C</v>
      </c>
      <c r="C30" s="2">
        <f>IF(ISTEXT(D30),MAX($C$12:$C29)+1,"")</f>
        <v>23</v>
      </c>
      <c r="D30" s="159" t="s">
        <v>10</v>
      </c>
      <c r="E30" s="250" t="s">
        <v>321</v>
      </c>
      <c r="F30" s="176" t="s">
        <v>43</v>
      </c>
      <c r="G30" s="177"/>
      <c r="H30" s="185"/>
      <c r="I30" s="188">
        <f t="shared" si="4"/>
        <v>2</v>
      </c>
      <c r="J30" s="189">
        <f t="shared" si="5"/>
        <v>0</v>
      </c>
      <c r="K30" s="220">
        <f t="shared" si="6"/>
        <v>0</v>
      </c>
      <c r="L30" s="47"/>
    </row>
    <row r="31" spans="2:12" ht="30" customHeight="1" x14ac:dyDescent="0.3">
      <c r="B31" s="48" t="str">
        <f t="shared" si="0"/>
        <v>IC2C</v>
      </c>
      <c r="C31" s="2">
        <f>IF(ISTEXT(D31),MAX($C$12:$C30)+1,"")</f>
        <v>24</v>
      </c>
      <c r="D31" s="159" t="s">
        <v>10</v>
      </c>
      <c r="E31" s="250" t="s">
        <v>322</v>
      </c>
      <c r="F31" s="176" t="s">
        <v>43</v>
      </c>
      <c r="G31" s="177"/>
      <c r="H31" s="185"/>
      <c r="I31" s="188">
        <f t="shared" ref="I31:I37" si="7">VLOOKUP($D31,SpecData,2,FALSE)</f>
        <v>2</v>
      </c>
      <c r="J31" s="189">
        <f t="shared" ref="J31:J37" si="8">VLOOKUP($F31,AvailabilityData,2,FALSE)</f>
        <v>0</v>
      </c>
      <c r="K31" s="220">
        <f t="shared" si="6"/>
        <v>0</v>
      </c>
      <c r="L31" s="47"/>
    </row>
    <row r="32" spans="2:12" ht="30" customHeight="1" x14ac:dyDescent="0.3">
      <c r="B32" s="48" t="str">
        <f t="shared" si="0"/>
        <v>IC2C</v>
      </c>
      <c r="C32" s="2">
        <f>IF(ISTEXT(D32),MAX($C$12:$C31)+1,"")</f>
        <v>25</v>
      </c>
      <c r="D32" s="159" t="s">
        <v>10</v>
      </c>
      <c r="E32" s="250" t="s">
        <v>323</v>
      </c>
      <c r="F32" s="176" t="s">
        <v>43</v>
      </c>
      <c r="G32" s="177"/>
      <c r="H32" s="185"/>
      <c r="I32" s="188">
        <f t="shared" si="7"/>
        <v>2</v>
      </c>
      <c r="J32" s="189">
        <f t="shared" si="8"/>
        <v>0</v>
      </c>
      <c r="K32" s="220">
        <f t="shared" si="6"/>
        <v>0</v>
      </c>
      <c r="L32" s="47"/>
    </row>
    <row r="33" spans="2:12" ht="30" customHeight="1" x14ac:dyDescent="0.3">
      <c r="B33" s="48" t="str">
        <f t="shared" si="0"/>
        <v>IC2C</v>
      </c>
      <c r="C33" s="2">
        <f>IF(ISTEXT(D33),MAX($C$12:$C32)+1,"")</f>
        <v>26</v>
      </c>
      <c r="D33" s="159" t="s">
        <v>10</v>
      </c>
      <c r="E33" s="250" t="s">
        <v>324</v>
      </c>
      <c r="F33" s="176" t="s">
        <v>43</v>
      </c>
      <c r="G33" s="177"/>
      <c r="H33" s="185"/>
      <c r="I33" s="188">
        <f t="shared" si="7"/>
        <v>2</v>
      </c>
      <c r="J33" s="189">
        <f t="shared" si="8"/>
        <v>0</v>
      </c>
      <c r="K33" s="220">
        <f t="shared" si="6"/>
        <v>0</v>
      </c>
      <c r="L33" s="47"/>
    </row>
    <row r="34" spans="2:12" ht="30" customHeight="1" x14ac:dyDescent="0.3">
      <c r="B34" s="48" t="str">
        <f t="shared" si="0"/>
        <v>IC2C</v>
      </c>
      <c r="C34" s="2">
        <f>IF(ISTEXT(D34),MAX($C$12:$C33)+1,"")</f>
        <v>27</v>
      </c>
      <c r="D34" s="159" t="s">
        <v>10</v>
      </c>
      <c r="E34" s="250" t="s">
        <v>1271</v>
      </c>
      <c r="F34" s="176" t="s">
        <v>43</v>
      </c>
      <c r="G34" s="177"/>
      <c r="H34" s="185"/>
      <c r="I34" s="188">
        <f t="shared" si="7"/>
        <v>2</v>
      </c>
      <c r="J34" s="189">
        <f t="shared" si="8"/>
        <v>0</v>
      </c>
      <c r="K34" s="220">
        <f t="shared" si="6"/>
        <v>0</v>
      </c>
      <c r="L34" s="47"/>
    </row>
    <row r="35" spans="2:12" ht="30" customHeight="1" x14ac:dyDescent="0.3">
      <c r="B35" s="48" t="str">
        <f t="shared" si="0"/>
        <v>IC2C</v>
      </c>
      <c r="C35" s="2">
        <f>IF(ISTEXT(D35),MAX($C$12:$C34)+1,"")</f>
        <v>28</v>
      </c>
      <c r="D35" s="159" t="s">
        <v>10</v>
      </c>
      <c r="E35" s="250" t="s">
        <v>1270</v>
      </c>
      <c r="F35" s="176" t="s">
        <v>43</v>
      </c>
      <c r="G35" s="177"/>
      <c r="H35" s="185"/>
      <c r="I35" s="188">
        <f t="shared" si="7"/>
        <v>2</v>
      </c>
      <c r="J35" s="189">
        <f t="shared" si="8"/>
        <v>0</v>
      </c>
      <c r="K35" s="220">
        <f t="shared" si="6"/>
        <v>0</v>
      </c>
      <c r="L35" s="47"/>
    </row>
    <row r="36" spans="2:12" ht="30" customHeight="1" x14ac:dyDescent="0.3">
      <c r="B36" s="48" t="str">
        <f t="shared" ref="B36" si="9">IF(C36="","",$B$4)</f>
        <v>IC2C</v>
      </c>
      <c r="C36" s="2">
        <f>IF(ISTEXT(D36),MAX($C$12:$C35)+1,"")</f>
        <v>29</v>
      </c>
      <c r="D36" s="159" t="s">
        <v>10</v>
      </c>
      <c r="E36" s="250" t="s">
        <v>1272</v>
      </c>
      <c r="F36" s="176" t="s">
        <v>43</v>
      </c>
      <c r="G36" s="177"/>
      <c r="H36" s="185"/>
      <c r="I36" s="188">
        <f t="shared" si="7"/>
        <v>2</v>
      </c>
      <c r="J36" s="189">
        <f t="shared" si="8"/>
        <v>0</v>
      </c>
      <c r="K36" s="220">
        <f t="shared" ref="K36" si="10">I36*J36</f>
        <v>0</v>
      </c>
      <c r="L36" s="47"/>
    </row>
    <row r="37" spans="2:12" ht="30" customHeight="1" thickBot="1" x14ac:dyDescent="0.35">
      <c r="B37" s="52" t="str">
        <f t="shared" si="0"/>
        <v>IC2C</v>
      </c>
      <c r="C37" s="2">
        <f>IF(ISTEXT(D37),MAX($C$12:$C36)+1,"")</f>
        <v>30</v>
      </c>
      <c r="D37" s="168" t="s">
        <v>10</v>
      </c>
      <c r="E37" s="251" t="s">
        <v>1273</v>
      </c>
      <c r="F37" s="243" t="s">
        <v>43</v>
      </c>
      <c r="G37" s="201"/>
      <c r="H37" s="252"/>
      <c r="I37" s="253">
        <f t="shared" si="7"/>
        <v>2</v>
      </c>
      <c r="J37" s="254">
        <f t="shared" si="8"/>
        <v>0</v>
      </c>
      <c r="K37" s="255">
        <f t="shared" si="6"/>
        <v>0</v>
      </c>
      <c r="L37" s="54"/>
    </row>
    <row r="38" spans="2:12" ht="9" customHeight="1" x14ac:dyDescent="0.3"/>
  </sheetData>
  <sheetProtection algorithmName="SHA-512" hashValue="6UR8nZA/4X8knisTpezopMWtOFpauoUAt29j8xjmXxQ41+8dPyxtJ5WuuRnC39o7js9b7WJg8sEjQo/LInBjTA==" saltValue="XfA9gOyg+FXgcHoHhHhLjg==" spinCount="100000" sheet="1" selectLockedCells="1"/>
  <mergeCells count="1">
    <mergeCell ref="E5:H5"/>
  </mergeCells>
  <conditionalFormatting sqref="D4">
    <cfRule type="cellIs" dxfId="269" priority="13" operator="equal">
      <formula>"Important"</formula>
    </cfRule>
    <cfRule type="cellIs" dxfId="268" priority="14" operator="equal">
      <formula>"Crucial"</formula>
    </cfRule>
    <cfRule type="cellIs" dxfId="267" priority="15" operator="equal">
      <formula>"N/A"</formula>
    </cfRule>
  </conditionalFormatting>
  <conditionalFormatting sqref="D6">
    <cfRule type="cellIs" dxfId="266" priority="10" operator="equal">
      <formula>"Important"</formula>
    </cfRule>
    <cfRule type="cellIs" dxfId="265" priority="11" operator="equal">
      <formula>"Crucial"</formula>
    </cfRule>
    <cfRule type="cellIs" dxfId="264" priority="12" operator="equal">
      <formula>"N/A"</formula>
    </cfRule>
  </conditionalFormatting>
  <conditionalFormatting sqref="D8:D10">
    <cfRule type="cellIs" dxfId="263" priority="7" operator="equal">
      <formula>"Important"</formula>
    </cfRule>
    <cfRule type="cellIs" dxfId="262" priority="8" operator="equal">
      <formula>"Crucial"</formula>
    </cfRule>
    <cfRule type="cellIs" dxfId="261" priority="9" operator="equal">
      <formula>"N/A"</formula>
    </cfRule>
  </conditionalFormatting>
  <conditionalFormatting sqref="D12:D17">
    <cfRule type="cellIs" dxfId="260" priority="4" operator="equal">
      <formula>"Important"</formula>
    </cfRule>
    <cfRule type="cellIs" dxfId="259" priority="5" operator="equal">
      <formula>"Crucial"</formula>
    </cfRule>
    <cfRule type="cellIs" dxfId="258" priority="6" operator="equal">
      <formula>"N/A"</formula>
    </cfRule>
  </conditionalFormatting>
  <conditionalFormatting sqref="D19:D37">
    <cfRule type="cellIs" dxfId="257" priority="1" operator="equal">
      <formula>"Important"</formula>
    </cfRule>
    <cfRule type="cellIs" dxfId="256" priority="2" operator="equal">
      <formula>"Crucial"</formula>
    </cfRule>
    <cfRule type="cellIs" dxfId="255" priority="3" operator="equal">
      <formula>"N/A"</formula>
    </cfRule>
  </conditionalFormatting>
  <conditionalFormatting sqref="F4">
    <cfRule type="cellIs" dxfId="254" priority="22" operator="equal">
      <formula>"Function Not Available"</formula>
    </cfRule>
    <cfRule type="cellIs" dxfId="253" priority="23" operator="equal">
      <formula>"Function Available"</formula>
    </cfRule>
    <cfRule type="cellIs" dxfId="252" priority="24" operator="equal">
      <formula>"Exception"</formula>
    </cfRule>
  </conditionalFormatting>
  <conditionalFormatting sqref="F6">
    <cfRule type="cellIs" dxfId="251" priority="19" operator="equal">
      <formula>"Function Not Available"</formula>
    </cfRule>
    <cfRule type="cellIs" dxfId="250" priority="20" operator="equal">
      <formula>"Function Available"</formula>
    </cfRule>
    <cfRule type="cellIs" dxfId="249" priority="21" operator="equal">
      <formula>"Exception"</formula>
    </cfRule>
  </conditionalFormatting>
  <conditionalFormatting sqref="F8:F37">
    <cfRule type="cellIs" dxfId="248" priority="16" operator="equal">
      <formula>"Function Not Available"</formula>
    </cfRule>
    <cfRule type="cellIs" dxfId="247" priority="17" operator="equal">
      <formula>"Function Available"</formula>
    </cfRule>
    <cfRule type="cellIs" dxfId="246" priority="18" operator="equal">
      <formula>"Exception"</formula>
    </cfRule>
  </conditionalFormatting>
  <dataValidations count="3">
    <dataValidation type="list" allowBlank="1" showInputMessage="1" showErrorMessage="1" sqref="F4 F6" xr:uid="{00000000-0002-0000-0A00-000000000000}">
      <formula1>AvailabilityType</formula1>
    </dataValidation>
    <dataValidation type="list" allowBlank="1" showInputMessage="1" showErrorMessage="1" sqref="D4 D6 D8:D10 D12:D17 D19:D37" xr:uid="{0F522541-3875-4A6B-9E95-65E218AD634A}">
      <formula1>SpecType</formula1>
    </dataValidation>
    <dataValidation type="list" allowBlank="1" showInputMessage="1" showErrorMessage="1" errorTitle="Invalid specification type" error="Please enter a Specification type from the drop-down list." sqref="F12:F17 F8:F10 F19:F37" xr:uid="{00000000-0002-0000-0A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00"/>
  </sheetPr>
  <dimension ref="A1:M20"/>
  <sheetViews>
    <sheetView showGridLines="0" zoomScale="80" zoomScaleNormal="8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3" customHeight="1" thickBot="1" x14ac:dyDescent="0.35"/>
    <row r="2" spans="2:12" ht="129" customHeight="1" thickBot="1" x14ac:dyDescent="0.35">
      <c r="B2" s="102" t="s">
        <v>44</v>
      </c>
      <c r="C2" s="102" t="s">
        <v>45</v>
      </c>
      <c r="D2" s="102" t="s">
        <v>46</v>
      </c>
      <c r="E2" s="102" t="s">
        <v>325</v>
      </c>
      <c r="F2" s="102" t="s">
        <v>42</v>
      </c>
      <c r="G2" s="103" t="s">
        <v>48</v>
      </c>
      <c r="H2" s="103" t="s">
        <v>49</v>
      </c>
      <c r="I2" s="104" t="s">
        <v>50</v>
      </c>
      <c r="J2" s="104" t="s">
        <v>51</v>
      </c>
      <c r="K2" s="105" t="s">
        <v>14</v>
      </c>
      <c r="L2" s="106" t="s">
        <v>52</v>
      </c>
    </row>
    <row r="3" spans="2:12" ht="16.2" thickBot="1" x14ac:dyDescent="0.35">
      <c r="B3" s="45" t="s">
        <v>326</v>
      </c>
      <c r="C3" s="8"/>
      <c r="D3" s="8"/>
      <c r="E3" s="8"/>
      <c r="F3" s="8"/>
      <c r="G3" s="34" t="s">
        <v>54</v>
      </c>
      <c r="H3" s="7">
        <f>COUNTA(D4:D478)</f>
        <v>7</v>
      </c>
      <c r="I3" s="24"/>
      <c r="J3" s="25" t="s">
        <v>55</v>
      </c>
      <c r="K3" s="26">
        <f t="shared" ref="K3" si="0">SUM(K4:K478)</f>
        <v>0</v>
      </c>
      <c r="L3" s="46"/>
    </row>
    <row r="4" spans="2:12" ht="41.4" x14ac:dyDescent="0.3">
      <c r="B4" s="48" t="s">
        <v>327</v>
      </c>
      <c r="C4" s="2">
        <v>1</v>
      </c>
      <c r="D4" s="159" t="s">
        <v>11</v>
      </c>
      <c r="E4" s="256" t="s">
        <v>328</v>
      </c>
      <c r="F4" s="176" t="s">
        <v>43</v>
      </c>
      <c r="G4" s="177" t="s">
        <v>58</v>
      </c>
      <c r="H4" s="178">
        <f>COUNTIF(F4:F478,"Select from Drop Down")</f>
        <v>7</v>
      </c>
      <c r="I4" s="179">
        <f t="shared" ref="I4:I10" si="1">VLOOKUP($D4,SpecData,2,FALSE)</f>
        <v>1</v>
      </c>
      <c r="J4" s="180">
        <f t="shared" ref="J4:J10" si="2">VLOOKUP($F4,AvailabilityData,2,FALSE)</f>
        <v>0</v>
      </c>
      <c r="K4" s="181">
        <f>I4*J4</f>
        <v>0</v>
      </c>
      <c r="L4" s="47"/>
    </row>
    <row r="5" spans="2:12" ht="30" customHeight="1" x14ac:dyDescent="0.3">
      <c r="B5" s="48" t="str">
        <f t="shared" ref="B5:B10" si="3">IF(C5="","",$B$4)</f>
        <v>CLScanI</v>
      </c>
      <c r="C5" s="2">
        <f>IF(ISTEXT(D5),MAX($C$4:$C4)+1,"")</f>
        <v>2</v>
      </c>
      <c r="D5" s="159" t="s">
        <v>11</v>
      </c>
      <c r="E5" s="256" t="s">
        <v>329</v>
      </c>
      <c r="F5" s="176" t="s">
        <v>43</v>
      </c>
      <c r="G5" s="177" t="s">
        <v>60</v>
      </c>
      <c r="H5" s="178">
        <f>COUNTIF(F4:F478,"Function Available")</f>
        <v>0</v>
      </c>
      <c r="I5" s="179">
        <f t="shared" si="1"/>
        <v>1</v>
      </c>
      <c r="J5" s="180">
        <f t="shared" si="2"/>
        <v>0</v>
      </c>
      <c r="K5" s="181">
        <f t="shared" ref="K5:K10" si="4">I5*J5</f>
        <v>0</v>
      </c>
      <c r="L5" s="47"/>
    </row>
    <row r="6" spans="2:12" ht="30" customHeight="1" x14ac:dyDescent="0.3">
      <c r="B6" s="48" t="str">
        <f t="shared" si="3"/>
        <v>CLScanI</v>
      </c>
      <c r="C6" s="2">
        <f>IF(ISTEXT(D6),MAX($C$4:$C5)+1,"")</f>
        <v>3</v>
      </c>
      <c r="D6" s="159" t="s">
        <v>11</v>
      </c>
      <c r="E6" s="256" t="s">
        <v>330</v>
      </c>
      <c r="F6" s="176" t="s">
        <v>43</v>
      </c>
      <c r="G6" s="177" t="s">
        <v>62</v>
      </c>
      <c r="H6" s="184">
        <f>COUNTIF(F4:F478,"Function Not Available")</f>
        <v>0</v>
      </c>
      <c r="I6" s="179">
        <f t="shared" si="1"/>
        <v>1</v>
      </c>
      <c r="J6" s="180">
        <f t="shared" si="2"/>
        <v>0</v>
      </c>
      <c r="K6" s="181">
        <f t="shared" si="4"/>
        <v>0</v>
      </c>
      <c r="L6" s="47"/>
    </row>
    <row r="7" spans="2:12" ht="41.4" x14ac:dyDescent="0.3">
      <c r="B7" s="48" t="str">
        <f t="shared" si="3"/>
        <v>CLScanI</v>
      </c>
      <c r="C7" s="2">
        <f>IF(ISTEXT(D7),MAX($C$4:$C6)+1,"")</f>
        <v>4</v>
      </c>
      <c r="D7" s="159" t="s">
        <v>11</v>
      </c>
      <c r="E7" s="256" t="s">
        <v>331</v>
      </c>
      <c r="F7" s="176" t="s">
        <v>43</v>
      </c>
      <c r="G7" s="177" t="s">
        <v>64</v>
      </c>
      <c r="H7" s="184">
        <f>COUNTIF(F4:F478,"Exception")</f>
        <v>0</v>
      </c>
      <c r="I7" s="179">
        <f t="shared" si="1"/>
        <v>1</v>
      </c>
      <c r="J7" s="180">
        <f t="shared" si="2"/>
        <v>0</v>
      </c>
      <c r="K7" s="181">
        <f t="shared" si="4"/>
        <v>0</v>
      </c>
      <c r="L7" s="47"/>
    </row>
    <row r="8" spans="2:12" ht="30" customHeight="1" x14ac:dyDescent="0.3">
      <c r="B8" s="48" t="str">
        <f t="shared" si="3"/>
        <v>CLScanI</v>
      </c>
      <c r="C8" s="2">
        <f>IF(ISTEXT(D8),MAX($C$4:$C7)+1,"")</f>
        <v>5</v>
      </c>
      <c r="D8" s="159" t="s">
        <v>11</v>
      </c>
      <c r="E8" s="256" t="s">
        <v>332</v>
      </c>
      <c r="F8" s="176" t="s">
        <v>43</v>
      </c>
      <c r="G8" s="177" t="s">
        <v>66</v>
      </c>
      <c r="H8" s="185">
        <f>COUNTIFS(D:D,"=Crucial",F:F,"=Select From Drop Down")</f>
        <v>0</v>
      </c>
      <c r="I8" s="179">
        <f t="shared" si="1"/>
        <v>1</v>
      </c>
      <c r="J8" s="180">
        <f t="shared" si="2"/>
        <v>0</v>
      </c>
      <c r="K8" s="181">
        <f t="shared" si="4"/>
        <v>0</v>
      </c>
      <c r="L8" s="47"/>
    </row>
    <row r="9" spans="2:12" ht="30" customHeight="1" x14ac:dyDescent="0.3">
      <c r="B9" s="48" t="str">
        <f t="shared" si="3"/>
        <v>CLScanI</v>
      </c>
      <c r="C9" s="2">
        <f>IF(ISTEXT(D9),MAX($C$4:$C8)+1,"")</f>
        <v>6</v>
      </c>
      <c r="D9" s="159" t="s">
        <v>11</v>
      </c>
      <c r="E9" s="256" t="s">
        <v>333</v>
      </c>
      <c r="F9" s="176" t="s">
        <v>43</v>
      </c>
      <c r="G9" s="177" t="s">
        <v>68</v>
      </c>
      <c r="H9" s="185">
        <f>COUNTIFS(D:D,"=Crucial",F:F,"=Function Available")</f>
        <v>0</v>
      </c>
      <c r="I9" s="179">
        <f t="shared" si="1"/>
        <v>1</v>
      </c>
      <c r="J9" s="180">
        <f t="shared" si="2"/>
        <v>0</v>
      </c>
      <c r="K9" s="181">
        <f t="shared" si="4"/>
        <v>0</v>
      </c>
      <c r="L9" s="47"/>
    </row>
    <row r="10" spans="2:12" ht="30" customHeight="1" thickBot="1" x14ac:dyDescent="0.35">
      <c r="B10" s="52" t="str">
        <f t="shared" si="3"/>
        <v>CLScanI</v>
      </c>
      <c r="C10" s="53">
        <f>IF(ISTEXT(D10),MAX($C$4:$C9)+1,"")</f>
        <v>7</v>
      </c>
      <c r="D10" s="168" t="s">
        <v>11</v>
      </c>
      <c r="E10" s="257" t="s">
        <v>334</v>
      </c>
      <c r="F10" s="243" t="s">
        <v>43</v>
      </c>
      <c r="G10" s="201" t="s">
        <v>70</v>
      </c>
      <c r="H10" s="202">
        <f>COUNTIFS(D:D,"=Crucial",F:F,"=Function Not Available")</f>
        <v>0</v>
      </c>
      <c r="I10" s="197">
        <f t="shared" si="1"/>
        <v>1</v>
      </c>
      <c r="J10" s="198">
        <f t="shared" si="2"/>
        <v>0</v>
      </c>
      <c r="K10" s="199">
        <f t="shared" si="4"/>
        <v>0</v>
      </c>
      <c r="L10" s="54"/>
    </row>
    <row r="11" spans="2:12" ht="30" hidden="1" customHeight="1" x14ac:dyDescent="0.3">
      <c r="B11" s="61"/>
      <c r="C11" s="61"/>
      <c r="D11" s="171"/>
      <c r="E11" s="79"/>
      <c r="F11" s="121"/>
      <c r="G11" s="34" t="s">
        <v>72</v>
      </c>
      <c r="H11" s="122">
        <f>COUNTIFS(D:D,"=Crucial",F:F,"=Exception")</f>
        <v>0</v>
      </c>
      <c r="I11" s="123"/>
      <c r="J11" s="124"/>
      <c r="K11" s="123"/>
      <c r="L11" s="173"/>
    </row>
    <row r="12" spans="2:12" ht="30" hidden="1" customHeight="1" x14ac:dyDescent="0.3">
      <c r="B12" s="73"/>
      <c r="C12" s="73"/>
      <c r="D12" s="240"/>
      <c r="E12" s="62"/>
      <c r="F12" s="125"/>
      <c r="G12" s="34" t="s">
        <v>74</v>
      </c>
      <c r="H12" s="122">
        <f>COUNTIFS(D:D,"=Important",F:F,"=Select From Drop Down")</f>
        <v>0</v>
      </c>
      <c r="I12" s="127"/>
      <c r="J12" s="128"/>
      <c r="K12" s="127"/>
      <c r="L12" s="161"/>
    </row>
    <row r="13" spans="2:12" ht="30" hidden="1" customHeight="1" x14ac:dyDescent="0.3">
      <c r="B13" s="73"/>
      <c r="C13" s="73"/>
      <c r="D13" s="240"/>
      <c r="E13" s="62"/>
      <c r="F13" s="125"/>
      <c r="G13" s="34" t="s">
        <v>76</v>
      </c>
      <c r="H13" s="122">
        <f>COUNTIFS(D:D,"=Important",F:F,"=Function Available")</f>
        <v>0</v>
      </c>
      <c r="I13" s="127"/>
      <c r="J13" s="128"/>
      <c r="K13" s="127"/>
      <c r="L13" s="161"/>
    </row>
    <row r="14" spans="2:12" ht="30" hidden="1" customHeight="1" x14ac:dyDescent="0.3">
      <c r="B14" s="73"/>
      <c r="C14" s="73"/>
      <c r="D14" s="240"/>
      <c r="E14" s="62"/>
      <c r="F14" s="125"/>
      <c r="G14" s="29" t="s">
        <v>78</v>
      </c>
      <c r="H14" s="126">
        <f>COUNTIFS(D:D,"=Important",F:F,"=Function Not Available")</f>
        <v>0</v>
      </c>
      <c r="I14" s="127"/>
      <c r="J14" s="128"/>
      <c r="K14" s="127"/>
      <c r="L14" s="161"/>
    </row>
    <row r="15" spans="2:12" ht="30" hidden="1" customHeight="1" x14ac:dyDescent="0.3">
      <c r="B15" s="73"/>
      <c r="C15" s="73"/>
      <c r="D15" s="240"/>
      <c r="E15" s="62"/>
      <c r="F15" s="125"/>
      <c r="G15" s="29" t="s">
        <v>80</v>
      </c>
      <c r="H15" s="126">
        <f>COUNTIFS(D:D,"=Important",F:F,"=Exception")</f>
        <v>0</v>
      </c>
      <c r="I15" s="127"/>
      <c r="J15" s="128"/>
      <c r="K15" s="127"/>
      <c r="L15" s="161"/>
    </row>
    <row r="16" spans="2:12" ht="30" hidden="1" customHeight="1" x14ac:dyDescent="0.3">
      <c r="B16" s="73"/>
      <c r="C16" s="73"/>
      <c r="D16" s="240"/>
      <c r="E16" s="62"/>
      <c r="F16" s="125"/>
      <c r="G16" s="29" t="s">
        <v>82</v>
      </c>
      <c r="H16" s="126">
        <f>COUNTIFS(D:D,"=Minimal",F:F,"=Select From Drop Down")</f>
        <v>7</v>
      </c>
      <c r="I16" s="127"/>
      <c r="J16" s="128"/>
      <c r="K16" s="127"/>
      <c r="L16" s="161"/>
    </row>
    <row r="17" spans="2:12" ht="30" hidden="1" customHeight="1" x14ac:dyDescent="0.3">
      <c r="B17" s="73"/>
      <c r="C17" s="73"/>
      <c r="D17" s="240"/>
      <c r="E17" s="62"/>
      <c r="F17" s="125"/>
      <c r="G17" s="29" t="s">
        <v>84</v>
      </c>
      <c r="H17" s="126">
        <f>COUNTIFS(D:D,"=Minimal",F:F,"=Function Available")</f>
        <v>0</v>
      </c>
      <c r="I17" s="127"/>
      <c r="J17" s="128"/>
      <c r="K17" s="127"/>
      <c r="L17" s="161"/>
    </row>
    <row r="18" spans="2:12" ht="30" hidden="1" customHeight="1" x14ac:dyDescent="0.3">
      <c r="B18" s="73"/>
      <c r="C18" s="73"/>
      <c r="D18" s="240"/>
      <c r="E18" s="62"/>
      <c r="F18" s="125"/>
      <c r="G18" s="29" t="s">
        <v>86</v>
      </c>
      <c r="H18" s="126">
        <f>COUNTIFS(D:D,"=Minimal",F:F,"=Function Not Available")</f>
        <v>0</v>
      </c>
      <c r="I18" s="127"/>
      <c r="J18" s="128"/>
      <c r="K18" s="127"/>
      <c r="L18" s="161"/>
    </row>
    <row r="19" spans="2:12" ht="30" hidden="1" customHeight="1" x14ac:dyDescent="0.3">
      <c r="B19" s="73"/>
      <c r="C19" s="73"/>
      <c r="D19" s="240"/>
      <c r="E19" s="62"/>
      <c r="F19" s="125"/>
      <c r="G19" s="29" t="s">
        <v>88</v>
      </c>
      <c r="H19" s="126">
        <f>COUNTIFS(D:D,"=Minimal",F:F,"=Exception")</f>
        <v>0</v>
      </c>
      <c r="I19" s="127"/>
      <c r="J19" s="128"/>
      <c r="K19" s="127"/>
      <c r="L19" s="161"/>
    </row>
    <row r="20" spans="2:12" ht="11.7" customHeight="1" x14ac:dyDescent="0.3"/>
  </sheetData>
  <sheetProtection algorithmName="SHA-512" hashValue="COg4/l6IO4NOhbagYpBzp3Lt7MVpJxG/kq66mNu/UJVY/BKbV6xkCR26i3pbXealIHlEprZ8taiPTyxKEg70Dw==" saltValue="gBd8bdXeAPId3gAAMsEZpw==" spinCount="100000" sheet="1" selectLockedCells="1"/>
  <conditionalFormatting sqref="D4:D19">
    <cfRule type="cellIs" dxfId="245" priority="10" operator="equal">
      <formula>"Important"</formula>
    </cfRule>
    <cfRule type="cellIs" dxfId="244" priority="11" operator="equal">
      <formula>"Crucial"</formula>
    </cfRule>
    <cfRule type="cellIs" dxfId="243" priority="12" operator="equal">
      <formula>"N/A"</formula>
    </cfRule>
  </conditionalFormatting>
  <conditionalFormatting sqref="F4:F19">
    <cfRule type="cellIs" dxfId="242" priority="1" operator="equal">
      <formula>"Function Not Available"</formula>
    </cfRule>
    <cfRule type="cellIs" dxfId="241" priority="2" operator="equal">
      <formula>"Function Available"</formula>
    </cfRule>
    <cfRule type="cellIs" dxfId="240" priority="3" operator="equal">
      <formula>"Exception"</formula>
    </cfRule>
  </conditionalFormatting>
  <dataValidations count="3">
    <dataValidation type="list" allowBlank="1" showInputMessage="1" showErrorMessage="1" sqref="F4:F5" xr:uid="{00000000-0002-0000-0B00-000000000000}">
      <formula1>AvailabilityType</formula1>
    </dataValidation>
    <dataValidation type="list" allowBlank="1" showInputMessage="1" showErrorMessage="1" sqref="D4:D10" xr:uid="{00000000-0002-0000-0B00-000001000000}">
      <formula1>SpecType</formula1>
    </dataValidation>
    <dataValidation type="list" allowBlank="1" showInputMessage="1" showErrorMessage="1" errorTitle="Invalid specification type" error="Please enter a Specification type from the drop-down list." sqref="F6:F10" xr:uid="{00000000-0002-0000-0B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FFCC00"/>
  </sheetPr>
  <dimension ref="A1:M54"/>
  <sheetViews>
    <sheetView showGridLines="0" zoomScale="80" zoomScaleNormal="8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4.95" customHeight="1" x14ac:dyDescent="0.3"/>
    <row r="2" spans="2:12" s="158" customFormat="1" ht="129" customHeight="1" thickBot="1" x14ac:dyDescent="0.3">
      <c r="B2" s="96" t="s">
        <v>44</v>
      </c>
      <c r="C2" s="97" t="s">
        <v>45</v>
      </c>
      <c r="D2" s="97" t="s">
        <v>46</v>
      </c>
      <c r="E2" s="97" t="s">
        <v>335</v>
      </c>
      <c r="F2" s="97" t="s">
        <v>42</v>
      </c>
      <c r="G2" s="98" t="s">
        <v>48</v>
      </c>
      <c r="H2" s="98" t="s">
        <v>49</v>
      </c>
      <c r="I2" s="99" t="s">
        <v>50</v>
      </c>
      <c r="J2" s="99" t="s">
        <v>51</v>
      </c>
      <c r="K2" s="100" t="s">
        <v>14</v>
      </c>
      <c r="L2" s="101" t="s">
        <v>52</v>
      </c>
    </row>
    <row r="3" spans="2:12" ht="16.2" thickBot="1" x14ac:dyDescent="0.35">
      <c r="B3" s="8" t="s">
        <v>336</v>
      </c>
      <c r="C3" s="8"/>
      <c r="D3" s="8"/>
      <c r="E3" s="8"/>
      <c r="F3" s="8"/>
      <c r="G3" s="34" t="s">
        <v>54</v>
      </c>
      <c r="H3" s="7">
        <f>COUNTA(D4:D500)</f>
        <v>44</v>
      </c>
      <c r="I3" s="24"/>
      <c r="J3" s="25" t="s">
        <v>55</v>
      </c>
      <c r="K3" s="26">
        <f>SUM(K4:K500)</f>
        <v>0</v>
      </c>
      <c r="L3" s="8"/>
    </row>
    <row r="4" spans="2:12" ht="30" customHeight="1" x14ac:dyDescent="0.3">
      <c r="B4" s="37" t="s">
        <v>337</v>
      </c>
      <c r="C4" s="2">
        <v>1</v>
      </c>
      <c r="D4" s="159" t="s">
        <v>9</v>
      </c>
      <c r="E4" s="235" t="s">
        <v>338</v>
      </c>
      <c r="F4" s="176" t="s">
        <v>43</v>
      </c>
      <c r="G4" s="177" t="s">
        <v>58</v>
      </c>
      <c r="H4" s="178">
        <f>COUNTIF(F4:F500,"Select from Drop Down")</f>
        <v>44</v>
      </c>
      <c r="I4" s="179">
        <f>VLOOKUP($D4,SpecData,2,FALSE)</f>
        <v>3</v>
      </c>
      <c r="J4" s="180">
        <f>VLOOKUP($F4,AvailabilityData,2,FALSE)</f>
        <v>0</v>
      </c>
      <c r="K4" s="181">
        <f>I4*J4</f>
        <v>0</v>
      </c>
      <c r="L4" s="38"/>
    </row>
    <row r="5" spans="2:12" ht="30" customHeight="1" x14ac:dyDescent="0.3">
      <c r="B5" s="37" t="str">
        <f>IF(C5="","",$B$4)</f>
        <v>IEMD</v>
      </c>
      <c r="C5" s="2">
        <f>IF(ISTEXT(D5),MAX($C$4:$C4)+1,"")</f>
        <v>2</v>
      </c>
      <c r="D5" s="159" t="s">
        <v>9</v>
      </c>
      <c r="E5" s="235" t="s">
        <v>339</v>
      </c>
      <c r="F5" s="176" t="s">
        <v>43</v>
      </c>
      <c r="G5" s="177" t="s">
        <v>60</v>
      </c>
      <c r="H5" s="178">
        <f>COUNTIF(F4:F500,"Function Available")</f>
        <v>0</v>
      </c>
      <c r="I5" s="179">
        <f>VLOOKUP($D5,SpecData,2,FALSE)</f>
        <v>3</v>
      </c>
      <c r="J5" s="180">
        <f>VLOOKUP($F5,AvailabilityData,2,FALSE)</f>
        <v>0</v>
      </c>
      <c r="K5" s="181">
        <f>I5*J5</f>
        <v>0</v>
      </c>
      <c r="L5" s="38"/>
    </row>
    <row r="6" spans="2:12" ht="30" customHeight="1" x14ac:dyDescent="0.3">
      <c r="B6" s="37" t="str">
        <f t="shared" ref="B6:B52" si="0">IF(C6="","",$B$4)</f>
        <v>IEMD</v>
      </c>
      <c r="C6" s="2">
        <f>IF(ISTEXT(D6),MAX($C$4:$C5)+1,"")</f>
        <v>3</v>
      </c>
      <c r="D6" s="159" t="s">
        <v>11</v>
      </c>
      <c r="E6" s="235" t="s">
        <v>340</v>
      </c>
      <c r="F6" s="176" t="s">
        <v>43</v>
      </c>
      <c r="G6" s="177" t="s">
        <v>62</v>
      </c>
      <c r="H6" s="184">
        <f>COUNTIF(F4:F500,"Function Not Available")</f>
        <v>0</v>
      </c>
      <c r="I6" s="179">
        <f t="shared" ref="I6:I28" si="1">VLOOKUP($D6,SpecData,2,FALSE)</f>
        <v>1</v>
      </c>
      <c r="J6" s="180">
        <f t="shared" ref="J6:J28" si="2">VLOOKUP($F6,AvailabilityData,2,FALSE)</f>
        <v>0</v>
      </c>
      <c r="K6" s="220">
        <f t="shared" ref="K6:K28" si="3">I6*J6</f>
        <v>0</v>
      </c>
      <c r="L6" s="38"/>
    </row>
    <row r="7" spans="2:12" ht="30" customHeight="1" x14ac:dyDescent="0.3">
      <c r="B7" s="40" t="str">
        <f t="shared" si="0"/>
        <v/>
      </c>
      <c r="C7" s="1" t="str">
        <f>IF(ISTEXT(D7),MAX($C$4:$C6)+1,"")</f>
        <v/>
      </c>
      <c r="D7" s="3"/>
      <c r="E7" s="203" t="s">
        <v>341</v>
      </c>
      <c r="F7" s="115"/>
      <c r="G7" s="31"/>
      <c r="H7" s="31"/>
      <c r="I7" s="31"/>
      <c r="J7" s="31"/>
      <c r="K7" s="31"/>
      <c r="L7" s="31"/>
    </row>
    <row r="8" spans="2:12" ht="30" customHeight="1" x14ac:dyDescent="0.3">
      <c r="B8" s="37" t="str">
        <f t="shared" si="0"/>
        <v>IEMD</v>
      </c>
      <c r="C8" s="2">
        <f>IF(ISTEXT(D8),MAX($C$4:$C7)+1,"")</f>
        <v>4</v>
      </c>
      <c r="D8" s="159" t="s">
        <v>9</v>
      </c>
      <c r="E8" s="249" t="s">
        <v>342</v>
      </c>
      <c r="F8" s="176" t="s">
        <v>43</v>
      </c>
      <c r="G8" s="177" t="s">
        <v>64</v>
      </c>
      <c r="H8" s="184">
        <f>COUNTIF(F4:F500,"Exception")</f>
        <v>0</v>
      </c>
      <c r="I8" s="179">
        <f t="shared" si="1"/>
        <v>3</v>
      </c>
      <c r="J8" s="180">
        <f t="shared" si="2"/>
        <v>0</v>
      </c>
      <c r="K8" s="181">
        <f t="shared" si="3"/>
        <v>0</v>
      </c>
      <c r="L8" s="38"/>
    </row>
    <row r="9" spans="2:12" ht="30" customHeight="1" x14ac:dyDescent="0.3">
      <c r="B9" s="37" t="str">
        <f t="shared" si="0"/>
        <v>IEMD</v>
      </c>
      <c r="C9" s="2">
        <f>IF(ISTEXT(D9),MAX($C$4:$C8)+1,"")</f>
        <v>5</v>
      </c>
      <c r="D9" s="159" t="s">
        <v>9</v>
      </c>
      <c r="E9" s="249" t="s">
        <v>343</v>
      </c>
      <c r="F9" s="176" t="s">
        <v>43</v>
      </c>
      <c r="G9" s="177" t="s">
        <v>66</v>
      </c>
      <c r="H9" s="185">
        <f>COUNTIFS(D:D,"=Crucial",F:F,"=Select From Drop Down")</f>
        <v>17</v>
      </c>
      <c r="I9" s="179">
        <f t="shared" si="1"/>
        <v>3</v>
      </c>
      <c r="J9" s="180">
        <f t="shared" si="2"/>
        <v>0</v>
      </c>
      <c r="K9" s="220">
        <f t="shared" si="3"/>
        <v>0</v>
      </c>
      <c r="L9" s="38"/>
    </row>
    <row r="10" spans="2:12" ht="49.2" customHeight="1" x14ac:dyDescent="0.3">
      <c r="B10" s="37" t="str">
        <f t="shared" si="0"/>
        <v>IEMD</v>
      </c>
      <c r="C10" s="2">
        <f>IF(ISTEXT(D10),MAX($C$4:$C9)+1,"")</f>
        <v>6</v>
      </c>
      <c r="D10" s="159" t="s">
        <v>9</v>
      </c>
      <c r="E10" s="258" t="s">
        <v>1274</v>
      </c>
      <c r="F10" s="176" t="s">
        <v>43</v>
      </c>
      <c r="G10" s="177" t="s">
        <v>68</v>
      </c>
      <c r="H10" s="185">
        <f>COUNTIFS(D:D,"=Crucial",F:F,"=Function Available")</f>
        <v>0</v>
      </c>
      <c r="I10" s="179">
        <f t="shared" si="1"/>
        <v>3</v>
      </c>
      <c r="J10" s="180">
        <f t="shared" si="2"/>
        <v>0</v>
      </c>
      <c r="K10" s="220">
        <f t="shared" si="3"/>
        <v>0</v>
      </c>
      <c r="L10" s="38"/>
    </row>
    <row r="11" spans="2:12" ht="42" customHeight="1" x14ac:dyDescent="0.3">
      <c r="B11" s="37" t="str">
        <f t="shared" si="0"/>
        <v>IEMD</v>
      </c>
      <c r="C11" s="2">
        <f>IF(ISTEXT(D11),MAX($C$4:$C10)+1,"")</f>
        <v>7</v>
      </c>
      <c r="D11" s="159" t="s">
        <v>9</v>
      </c>
      <c r="E11" s="258" t="s">
        <v>344</v>
      </c>
      <c r="F11" s="176" t="s">
        <v>43</v>
      </c>
      <c r="G11" s="177" t="s">
        <v>70</v>
      </c>
      <c r="H11" s="185">
        <f>COUNTIFS(D:D,"=Crucial",F:F,"=Function Not Available")</f>
        <v>0</v>
      </c>
      <c r="I11" s="179">
        <f t="shared" si="1"/>
        <v>3</v>
      </c>
      <c r="J11" s="180">
        <f t="shared" si="2"/>
        <v>0</v>
      </c>
      <c r="K11" s="220">
        <f t="shared" si="3"/>
        <v>0</v>
      </c>
      <c r="L11" s="38"/>
    </row>
    <row r="12" spans="2:12" ht="30" customHeight="1" x14ac:dyDescent="0.3">
      <c r="B12" s="40" t="str">
        <f t="shared" si="0"/>
        <v/>
      </c>
      <c r="C12" s="1" t="str">
        <f>IF(ISTEXT(D12),MAX($C$4:$C11)+1,"")</f>
        <v/>
      </c>
      <c r="D12" s="3"/>
      <c r="E12" s="203" t="s">
        <v>345</v>
      </c>
      <c r="F12" s="115"/>
      <c r="G12" s="31"/>
      <c r="H12" s="31"/>
      <c r="I12" s="259"/>
      <c r="J12" s="259"/>
      <c r="K12" s="259"/>
      <c r="L12" s="31"/>
    </row>
    <row r="13" spans="2:12" ht="30" customHeight="1" x14ac:dyDescent="0.3">
      <c r="B13" s="37" t="str">
        <f t="shared" si="0"/>
        <v>IEMD</v>
      </c>
      <c r="C13" s="2">
        <f>IF(ISTEXT(D13),MAX($C$4:$C12)+1,"")</f>
        <v>8</v>
      </c>
      <c r="D13" s="159" t="s">
        <v>11</v>
      </c>
      <c r="E13" s="227" t="s">
        <v>346</v>
      </c>
      <c r="F13" s="176" t="s">
        <v>43</v>
      </c>
      <c r="G13" s="192" t="s">
        <v>72</v>
      </c>
      <c r="H13" s="266">
        <f>COUNTIFS(D:D,"=Crucial",F:F,"=Exception")</f>
        <v>0</v>
      </c>
      <c r="I13" s="267">
        <f t="shared" si="1"/>
        <v>1</v>
      </c>
      <c r="J13" s="268">
        <f t="shared" si="2"/>
        <v>0</v>
      </c>
      <c r="K13" s="267">
        <f t="shared" si="3"/>
        <v>0</v>
      </c>
      <c r="L13" s="38"/>
    </row>
    <row r="14" spans="2:12" ht="30" customHeight="1" x14ac:dyDescent="0.3">
      <c r="B14" s="37" t="str">
        <f t="shared" si="0"/>
        <v>IEMD</v>
      </c>
      <c r="C14" s="2">
        <f>IF(ISTEXT(D14),MAX($C$4:$C13)+1,"")</f>
        <v>9</v>
      </c>
      <c r="D14" s="159" t="s">
        <v>9</v>
      </c>
      <c r="E14" s="228" t="s">
        <v>347</v>
      </c>
      <c r="F14" s="176" t="s">
        <v>43</v>
      </c>
      <c r="G14" s="177" t="s">
        <v>74</v>
      </c>
      <c r="H14" s="269">
        <f>COUNTIFS(D:D,"=Important",F:F,"=Select From Drop Down")</f>
        <v>2</v>
      </c>
      <c r="I14" s="267">
        <f t="shared" si="1"/>
        <v>3</v>
      </c>
      <c r="J14" s="268">
        <f t="shared" si="2"/>
        <v>0</v>
      </c>
      <c r="K14" s="267">
        <f t="shared" si="3"/>
        <v>0</v>
      </c>
      <c r="L14" s="38"/>
    </row>
    <row r="15" spans="2:12" ht="30" customHeight="1" x14ac:dyDescent="0.3">
      <c r="B15" s="37" t="str">
        <f t="shared" si="0"/>
        <v>IEMD</v>
      </c>
      <c r="C15" s="2">
        <f>IF(ISTEXT(D15),MAX($C$4:$C14)+1,"")</f>
        <v>10</v>
      </c>
      <c r="D15" s="159" t="s">
        <v>9</v>
      </c>
      <c r="E15" s="228" t="s">
        <v>348</v>
      </c>
      <c r="F15" s="176" t="s">
        <v>43</v>
      </c>
      <c r="G15" s="177" t="s">
        <v>76</v>
      </c>
      <c r="H15" s="269">
        <f>COUNTIFS(D:D,"=Important",F:F,"=Function Available")</f>
        <v>0</v>
      </c>
      <c r="I15" s="267">
        <f t="shared" si="1"/>
        <v>3</v>
      </c>
      <c r="J15" s="268">
        <f t="shared" si="2"/>
        <v>0</v>
      </c>
      <c r="K15" s="267">
        <f t="shared" si="3"/>
        <v>0</v>
      </c>
      <c r="L15" s="38"/>
    </row>
    <row r="16" spans="2:12" ht="30" customHeight="1" x14ac:dyDescent="0.3">
      <c r="B16" s="37" t="str">
        <f t="shared" si="0"/>
        <v>IEMD</v>
      </c>
      <c r="C16" s="2">
        <f>IF(ISTEXT(D16),MAX($C$4:$C15)+1,"")</f>
        <v>11</v>
      </c>
      <c r="D16" s="159" t="s">
        <v>10</v>
      </c>
      <c r="E16" s="228" t="s">
        <v>349</v>
      </c>
      <c r="F16" s="176" t="s">
        <v>43</v>
      </c>
      <c r="G16" s="177" t="s">
        <v>78</v>
      </c>
      <c r="H16" s="269">
        <f>COUNTIFS(D:D,"=Important",F:F,"=Function Not Available")</f>
        <v>0</v>
      </c>
      <c r="I16" s="267">
        <f t="shared" si="1"/>
        <v>2</v>
      </c>
      <c r="J16" s="268">
        <f t="shared" si="2"/>
        <v>0</v>
      </c>
      <c r="K16" s="267">
        <f t="shared" si="3"/>
        <v>0</v>
      </c>
      <c r="L16" s="38"/>
    </row>
    <row r="17" spans="2:12" ht="30" customHeight="1" x14ac:dyDescent="0.3">
      <c r="B17" s="260" t="str">
        <f t="shared" ref="B17:B28" si="4">IF(C17="","",$B$4)</f>
        <v>IEMD</v>
      </c>
      <c r="C17" s="260">
        <f>IF(ISTEXT(D17),MAX($C$4:$C16)+1,"")</f>
        <v>12</v>
      </c>
      <c r="D17" s="261" t="s">
        <v>9</v>
      </c>
      <c r="E17" s="228" t="s">
        <v>350</v>
      </c>
      <c r="F17" s="182" t="s">
        <v>43</v>
      </c>
      <c r="G17" s="177" t="s">
        <v>80</v>
      </c>
      <c r="H17" s="269">
        <f>COUNTIFS(D:D,"=Important",F:F,"=Exception")</f>
        <v>0</v>
      </c>
      <c r="I17" s="267">
        <f t="shared" si="1"/>
        <v>3</v>
      </c>
      <c r="J17" s="268">
        <f t="shared" si="2"/>
        <v>0</v>
      </c>
      <c r="K17" s="267">
        <f t="shared" si="3"/>
        <v>0</v>
      </c>
      <c r="L17" s="38"/>
    </row>
    <row r="18" spans="2:12" ht="30" customHeight="1" x14ac:dyDescent="0.3">
      <c r="B18" s="262" t="str">
        <f t="shared" si="4"/>
        <v>IEMD</v>
      </c>
      <c r="C18" s="262">
        <f>IF(ISTEXT(D18),MAX($C$4:$C17)+1,"")</f>
        <v>13</v>
      </c>
      <c r="D18" s="263" t="s">
        <v>11</v>
      </c>
      <c r="E18" s="264" t="s">
        <v>351</v>
      </c>
      <c r="F18" s="270" t="s">
        <v>43</v>
      </c>
      <c r="G18" s="177" t="s">
        <v>82</v>
      </c>
      <c r="H18" s="269">
        <f>COUNTIFS(D:D,"=Minimal",F:F,"=Select From Drop Down")</f>
        <v>25</v>
      </c>
      <c r="I18" s="267">
        <f t="shared" si="1"/>
        <v>1</v>
      </c>
      <c r="J18" s="268">
        <f t="shared" si="2"/>
        <v>0</v>
      </c>
      <c r="K18" s="267">
        <f t="shared" si="3"/>
        <v>0</v>
      </c>
      <c r="L18" s="38"/>
    </row>
    <row r="19" spans="2:12" ht="30" customHeight="1" x14ac:dyDescent="0.3">
      <c r="B19" s="262" t="str">
        <f t="shared" si="4"/>
        <v>IEMD</v>
      </c>
      <c r="C19" s="262">
        <f>IF(ISTEXT(D19),MAX($C$4:$C18)+1,"")</f>
        <v>14</v>
      </c>
      <c r="D19" s="263" t="s">
        <v>11</v>
      </c>
      <c r="E19" s="264" t="s">
        <v>352</v>
      </c>
      <c r="F19" s="270" t="s">
        <v>43</v>
      </c>
      <c r="G19" s="177" t="s">
        <v>84</v>
      </c>
      <c r="H19" s="269">
        <f>COUNTIFS(D:D,"=Minimal",F:F,"=Function Available")</f>
        <v>0</v>
      </c>
      <c r="I19" s="267">
        <f t="shared" si="1"/>
        <v>1</v>
      </c>
      <c r="J19" s="268">
        <f t="shared" si="2"/>
        <v>0</v>
      </c>
      <c r="K19" s="267">
        <f t="shared" si="3"/>
        <v>0</v>
      </c>
      <c r="L19" s="38"/>
    </row>
    <row r="20" spans="2:12" ht="30" customHeight="1" x14ac:dyDescent="0.3">
      <c r="B20" s="262" t="str">
        <f t="shared" si="4"/>
        <v>IEMD</v>
      </c>
      <c r="C20" s="262">
        <f>IF(ISTEXT(D20),MAX($C$4:$C19)+1,"")</f>
        <v>15</v>
      </c>
      <c r="D20" s="263" t="s">
        <v>11</v>
      </c>
      <c r="E20" s="264" t="s">
        <v>353</v>
      </c>
      <c r="F20" s="270" t="s">
        <v>43</v>
      </c>
      <c r="G20" s="177" t="s">
        <v>86</v>
      </c>
      <c r="H20" s="269">
        <f>COUNTIFS(D:D,"=Minimal",F:F,"=Function Not Available")</f>
        <v>0</v>
      </c>
      <c r="I20" s="267">
        <f t="shared" si="1"/>
        <v>1</v>
      </c>
      <c r="J20" s="268">
        <f t="shared" si="2"/>
        <v>0</v>
      </c>
      <c r="K20" s="267">
        <f t="shared" si="3"/>
        <v>0</v>
      </c>
      <c r="L20" s="38"/>
    </row>
    <row r="21" spans="2:12" ht="30" customHeight="1" x14ac:dyDescent="0.3">
      <c r="B21" s="262" t="str">
        <f t="shared" si="4"/>
        <v>IEMD</v>
      </c>
      <c r="C21" s="262">
        <f>IF(ISTEXT(D21),MAX($C$4:$C20)+1,"")</f>
        <v>16</v>
      </c>
      <c r="D21" s="263" t="s">
        <v>9</v>
      </c>
      <c r="E21" s="264" t="s">
        <v>354</v>
      </c>
      <c r="F21" s="270" t="s">
        <v>43</v>
      </c>
      <c r="G21" s="177" t="s">
        <v>88</v>
      </c>
      <c r="H21" s="269">
        <f>COUNTIFS(D:D,"=Minimal",F:F,"=Exception")</f>
        <v>0</v>
      </c>
      <c r="I21" s="267">
        <f t="shared" si="1"/>
        <v>3</v>
      </c>
      <c r="J21" s="268">
        <f t="shared" si="2"/>
        <v>0</v>
      </c>
      <c r="K21" s="267">
        <f t="shared" si="3"/>
        <v>0</v>
      </c>
      <c r="L21" s="38"/>
    </row>
    <row r="22" spans="2:12" ht="30" customHeight="1" x14ac:dyDescent="0.3">
      <c r="B22" s="262" t="str">
        <f t="shared" si="4"/>
        <v>IEMD</v>
      </c>
      <c r="C22" s="262">
        <f>IF(ISTEXT(D22),MAX($C$4:$C21)+1,"")</f>
        <v>17</v>
      </c>
      <c r="D22" s="263" t="s">
        <v>9</v>
      </c>
      <c r="E22" s="264" t="s">
        <v>355</v>
      </c>
      <c r="F22" s="270" t="s">
        <v>43</v>
      </c>
      <c r="G22" s="177"/>
      <c r="H22" s="178"/>
      <c r="I22" s="267">
        <f t="shared" si="1"/>
        <v>3</v>
      </c>
      <c r="J22" s="268">
        <f t="shared" si="2"/>
        <v>0</v>
      </c>
      <c r="K22" s="267">
        <f t="shared" si="3"/>
        <v>0</v>
      </c>
      <c r="L22" s="38"/>
    </row>
    <row r="23" spans="2:12" ht="39.6" customHeight="1" x14ac:dyDescent="0.3">
      <c r="B23" s="262" t="str">
        <f t="shared" si="4"/>
        <v>IEMD</v>
      </c>
      <c r="C23" s="262">
        <f>IF(ISTEXT(D23),MAX($C$4:$C22)+1,"")</f>
        <v>18</v>
      </c>
      <c r="D23" s="263" t="s">
        <v>11</v>
      </c>
      <c r="E23" s="264" t="s">
        <v>356</v>
      </c>
      <c r="F23" s="270" t="s">
        <v>43</v>
      </c>
      <c r="G23" s="177"/>
      <c r="H23" s="178"/>
      <c r="I23" s="267">
        <f t="shared" si="1"/>
        <v>1</v>
      </c>
      <c r="J23" s="268">
        <f t="shared" si="2"/>
        <v>0</v>
      </c>
      <c r="K23" s="267">
        <f t="shared" si="3"/>
        <v>0</v>
      </c>
      <c r="L23" s="38"/>
    </row>
    <row r="24" spans="2:12" ht="45" customHeight="1" x14ac:dyDescent="0.3">
      <c r="B24" s="262" t="str">
        <f t="shared" si="4"/>
        <v>IEMD</v>
      </c>
      <c r="C24" s="262">
        <f>IF(ISTEXT(D24),MAX($C$4:$C23)+1,"")</f>
        <v>19</v>
      </c>
      <c r="D24" s="263" t="s">
        <v>11</v>
      </c>
      <c r="E24" s="264" t="s">
        <v>357</v>
      </c>
      <c r="F24" s="270" t="s">
        <v>43</v>
      </c>
      <c r="G24" s="177"/>
      <c r="H24" s="178"/>
      <c r="I24" s="267">
        <f t="shared" si="1"/>
        <v>1</v>
      </c>
      <c r="J24" s="268">
        <f t="shared" si="2"/>
        <v>0</v>
      </c>
      <c r="K24" s="267">
        <f t="shared" si="3"/>
        <v>0</v>
      </c>
      <c r="L24" s="38"/>
    </row>
    <row r="25" spans="2:12" ht="42.6" customHeight="1" x14ac:dyDescent="0.3">
      <c r="B25" s="262" t="str">
        <f t="shared" si="4"/>
        <v>IEMD</v>
      </c>
      <c r="C25" s="262">
        <f>IF(ISTEXT(D25),MAX($C$4:$C24)+1,"")</f>
        <v>20</v>
      </c>
      <c r="D25" s="263" t="s">
        <v>11</v>
      </c>
      <c r="E25" s="264" t="s">
        <v>358</v>
      </c>
      <c r="F25" s="270" t="s">
        <v>43</v>
      </c>
      <c r="G25" s="177"/>
      <c r="H25" s="178"/>
      <c r="I25" s="267">
        <f t="shared" si="1"/>
        <v>1</v>
      </c>
      <c r="J25" s="268">
        <f t="shared" si="2"/>
        <v>0</v>
      </c>
      <c r="K25" s="267">
        <f t="shared" si="3"/>
        <v>0</v>
      </c>
      <c r="L25" s="38"/>
    </row>
    <row r="26" spans="2:12" ht="45" customHeight="1" x14ac:dyDescent="0.3">
      <c r="B26" s="262" t="str">
        <f t="shared" si="4"/>
        <v>IEMD</v>
      </c>
      <c r="C26" s="262">
        <f>IF(ISTEXT(D26),MAX($C$4:$C25)+1,"")</f>
        <v>21</v>
      </c>
      <c r="D26" s="263" t="s">
        <v>11</v>
      </c>
      <c r="E26" s="264" t="s">
        <v>359</v>
      </c>
      <c r="F26" s="270" t="s">
        <v>43</v>
      </c>
      <c r="G26" s="192"/>
      <c r="H26" s="271"/>
      <c r="I26" s="267">
        <f t="shared" si="1"/>
        <v>1</v>
      </c>
      <c r="J26" s="268">
        <f t="shared" si="2"/>
        <v>0</v>
      </c>
      <c r="K26" s="267">
        <f t="shared" si="3"/>
        <v>0</v>
      </c>
      <c r="L26" s="38"/>
    </row>
    <row r="27" spans="2:12" ht="42" customHeight="1" x14ac:dyDescent="0.3">
      <c r="B27" s="262" t="str">
        <f t="shared" si="4"/>
        <v>IEMD</v>
      </c>
      <c r="C27" s="262">
        <f>IF(ISTEXT(D27),MAX($C$4:$C26)+1,"")</f>
        <v>22</v>
      </c>
      <c r="D27" s="263" t="s">
        <v>10</v>
      </c>
      <c r="E27" s="264" t="s">
        <v>360</v>
      </c>
      <c r="F27" s="270" t="s">
        <v>43</v>
      </c>
      <c r="G27" s="186"/>
      <c r="H27" s="272"/>
      <c r="I27" s="267">
        <f t="shared" si="1"/>
        <v>2</v>
      </c>
      <c r="J27" s="268">
        <f t="shared" si="2"/>
        <v>0</v>
      </c>
      <c r="K27" s="267">
        <f t="shared" si="3"/>
        <v>0</v>
      </c>
      <c r="L27" s="38"/>
    </row>
    <row r="28" spans="2:12" ht="30" customHeight="1" x14ac:dyDescent="0.3">
      <c r="B28" s="262" t="str">
        <f t="shared" si="4"/>
        <v>IEMD</v>
      </c>
      <c r="C28" s="262">
        <f>IF(ISTEXT(D28),MAX($C$4:$C27)+1,"")</f>
        <v>23</v>
      </c>
      <c r="D28" s="263" t="s">
        <v>9</v>
      </c>
      <c r="E28" s="264" t="s">
        <v>361</v>
      </c>
      <c r="F28" s="270" t="s">
        <v>43</v>
      </c>
      <c r="G28" s="177"/>
      <c r="H28" s="178"/>
      <c r="I28" s="267">
        <f t="shared" si="1"/>
        <v>3</v>
      </c>
      <c r="J28" s="268">
        <f t="shared" si="2"/>
        <v>0</v>
      </c>
      <c r="K28" s="267">
        <f t="shared" si="3"/>
        <v>0</v>
      </c>
      <c r="L28" s="38"/>
    </row>
    <row r="29" spans="2:12" ht="51" customHeight="1" x14ac:dyDescent="0.3">
      <c r="B29" s="40" t="str">
        <f t="shared" si="0"/>
        <v/>
      </c>
      <c r="C29" s="1" t="str">
        <f>IF(ISTEXT(D29),MAX($C$4:$C28)+1,"")</f>
        <v/>
      </c>
      <c r="D29" s="3"/>
      <c r="E29" s="203" t="s">
        <v>1278</v>
      </c>
      <c r="F29" s="115"/>
      <c r="G29" s="31"/>
      <c r="H29" s="31"/>
      <c r="I29" s="265"/>
      <c r="J29" s="265"/>
      <c r="K29" s="265"/>
      <c r="L29" s="31"/>
    </row>
    <row r="30" spans="2:12" ht="30" customHeight="1" x14ac:dyDescent="0.3">
      <c r="B30" s="37" t="str">
        <f t="shared" si="0"/>
        <v>IEMD</v>
      </c>
      <c r="C30" s="2">
        <f>IF(ISTEXT(D30),MAX($C$4:$C29)+1,"")</f>
        <v>24</v>
      </c>
      <c r="D30" s="159" t="s">
        <v>9</v>
      </c>
      <c r="E30" s="227" t="s">
        <v>362</v>
      </c>
      <c r="F30" s="176" t="s">
        <v>43</v>
      </c>
      <c r="G30" s="186"/>
      <c r="H30" s="234"/>
      <c r="I30" s="179">
        <f>VLOOKUP($D30,SpecData,2,FALSE)</f>
        <v>3</v>
      </c>
      <c r="J30" s="180">
        <f>VLOOKUP($F30,AvailabilityData,2,FALSE)</f>
        <v>0</v>
      </c>
      <c r="K30" s="181">
        <f t="shared" ref="K30:K33" si="5">I30*J30</f>
        <v>0</v>
      </c>
      <c r="L30" s="44"/>
    </row>
    <row r="31" spans="2:12" ht="30" customHeight="1" x14ac:dyDescent="0.3">
      <c r="B31" s="37" t="str">
        <f t="shared" si="0"/>
        <v>IEMD</v>
      </c>
      <c r="C31" s="2">
        <f>IF(ISTEXT(D31),MAX($C$4:$C30)+1,"")</f>
        <v>25</v>
      </c>
      <c r="D31" s="159" t="s">
        <v>9</v>
      </c>
      <c r="E31" s="228" t="s">
        <v>363</v>
      </c>
      <c r="F31" s="176" t="s">
        <v>43</v>
      </c>
      <c r="G31" s="177"/>
      <c r="H31" s="184"/>
      <c r="I31" s="188">
        <f>VLOOKUP($D31,SpecData,2,FALSE)</f>
        <v>3</v>
      </c>
      <c r="J31" s="189">
        <f>VLOOKUP($F31,AvailabilityData,2,FALSE)</f>
        <v>0</v>
      </c>
      <c r="K31" s="220">
        <f t="shared" si="5"/>
        <v>0</v>
      </c>
      <c r="L31" s="38"/>
    </row>
    <row r="32" spans="2:12" ht="30" customHeight="1" x14ac:dyDescent="0.3">
      <c r="B32" s="37" t="str">
        <f t="shared" si="0"/>
        <v>IEMD</v>
      </c>
      <c r="C32" s="2">
        <f>IF(ISTEXT(D32),MAX($C$4:$C31)+1,"")</f>
        <v>26</v>
      </c>
      <c r="D32" s="159" t="s">
        <v>9</v>
      </c>
      <c r="E32" s="228" t="s">
        <v>364</v>
      </c>
      <c r="F32" s="176" t="s">
        <v>43</v>
      </c>
      <c r="G32" s="177"/>
      <c r="H32" s="184"/>
      <c r="I32" s="188">
        <f>VLOOKUP($D32,SpecData,2,FALSE)</f>
        <v>3</v>
      </c>
      <c r="J32" s="189">
        <f>VLOOKUP($F32,AvailabilityData,2,FALSE)</f>
        <v>0</v>
      </c>
      <c r="K32" s="220">
        <f t="shared" si="5"/>
        <v>0</v>
      </c>
      <c r="L32" s="38"/>
    </row>
    <row r="33" spans="2:12" ht="30" customHeight="1" x14ac:dyDescent="0.3">
      <c r="B33" s="37" t="str">
        <f t="shared" si="0"/>
        <v>IEMD</v>
      </c>
      <c r="C33" s="2">
        <f>IF(ISTEXT(D33),MAX($C$4:$C32)+1,"")</f>
        <v>27</v>
      </c>
      <c r="D33" s="159" t="s">
        <v>11</v>
      </c>
      <c r="E33" s="228" t="s">
        <v>365</v>
      </c>
      <c r="F33" s="176" t="s">
        <v>43</v>
      </c>
      <c r="G33" s="177"/>
      <c r="H33" s="184"/>
      <c r="I33" s="188">
        <f>VLOOKUP($D33,SpecData,2,FALSE)</f>
        <v>1</v>
      </c>
      <c r="J33" s="189">
        <f>VLOOKUP($F33,AvailabilityData,2,FALSE)</f>
        <v>0</v>
      </c>
      <c r="K33" s="220">
        <f t="shared" si="5"/>
        <v>0</v>
      </c>
      <c r="L33" s="38"/>
    </row>
    <row r="34" spans="2:12" ht="52.8" customHeight="1" x14ac:dyDescent="0.3">
      <c r="B34" s="40" t="str">
        <f t="shared" si="0"/>
        <v/>
      </c>
      <c r="C34" s="1" t="str">
        <f>IF(ISTEXT(D34),MAX($C$4:$C33)+1,"")</f>
        <v/>
      </c>
      <c r="D34" s="3"/>
      <c r="E34" s="203" t="s">
        <v>1279</v>
      </c>
      <c r="F34" s="115"/>
      <c r="G34" s="31"/>
      <c r="H34" s="31"/>
      <c r="I34" s="31"/>
      <c r="J34" s="31"/>
      <c r="K34" s="31"/>
      <c r="L34" s="31"/>
    </row>
    <row r="35" spans="2:12" ht="30" customHeight="1" x14ac:dyDescent="0.3">
      <c r="B35" s="37" t="str">
        <f t="shared" si="0"/>
        <v>IEMD</v>
      </c>
      <c r="C35" s="2">
        <f>IF(ISTEXT(D35),MAX($C$4:$C34)+1,"")</f>
        <v>28</v>
      </c>
      <c r="D35" s="159" t="s">
        <v>11</v>
      </c>
      <c r="E35" s="228" t="s">
        <v>366</v>
      </c>
      <c r="F35" s="176" t="s">
        <v>43</v>
      </c>
      <c r="G35" s="273"/>
      <c r="H35" s="274"/>
      <c r="I35" s="275">
        <f t="shared" ref="I35:I40" si="6">VLOOKUP($D35,SpecData,2,FALSE)</f>
        <v>1</v>
      </c>
      <c r="J35" s="276">
        <f t="shared" ref="J35:J40" si="7">VLOOKUP($F35,AvailabilityData,2,FALSE)</f>
        <v>0</v>
      </c>
      <c r="K35" s="277">
        <f>I35*J35</f>
        <v>0</v>
      </c>
      <c r="L35" s="38"/>
    </row>
    <row r="36" spans="2:12" ht="30" customHeight="1" x14ac:dyDescent="0.3">
      <c r="B36" s="37" t="str">
        <f t="shared" si="0"/>
        <v>IEMD</v>
      </c>
      <c r="C36" s="2">
        <f>IF(ISTEXT(D36),MAX($C$4:$C35)+1,"")</f>
        <v>29</v>
      </c>
      <c r="D36" s="159" t="s">
        <v>11</v>
      </c>
      <c r="E36" s="228" t="s">
        <v>367</v>
      </c>
      <c r="F36" s="176" t="s">
        <v>43</v>
      </c>
      <c r="G36" s="177"/>
      <c r="H36" s="184"/>
      <c r="I36" s="188">
        <f t="shared" si="6"/>
        <v>1</v>
      </c>
      <c r="J36" s="189">
        <f t="shared" si="7"/>
        <v>0</v>
      </c>
      <c r="K36" s="220">
        <f t="shared" ref="K36:K40" si="8">I36*J36</f>
        <v>0</v>
      </c>
      <c r="L36" s="38"/>
    </row>
    <row r="37" spans="2:12" ht="30" customHeight="1" x14ac:dyDescent="0.3">
      <c r="B37" s="37" t="str">
        <f t="shared" si="0"/>
        <v>IEMD</v>
      </c>
      <c r="C37" s="2">
        <f>IF(ISTEXT(D37),MAX($C$4:$C36)+1,"")</f>
        <v>30</v>
      </c>
      <c r="D37" s="159" t="s">
        <v>11</v>
      </c>
      <c r="E37" s="228" t="s">
        <v>368</v>
      </c>
      <c r="F37" s="176" t="s">
        <v>43</v>
      </c>
      <c r="G37" s="177"/>
      <c r="H37" s="184"/>
      <c r="I37" s="188">
        <f t="shared" si="6"/>
        <v>1</v>
      </c>
      <c r="J37" s="189">
        <f t="shared" si="7"/>
        <v>0</v>
      </c>
      <c r="K37" s="220">
        <f t="shared" si="8"/>
        <v>0</v>
      </c>
      <c r="L37" s="38"/>
    </row>
    <row r="38" spans="2:12" ht="30" customHeight="1" x14ac:dyDescent="0.3">
      <c r="B38" s="37" t="str">
        <f t="shared" si="0"/>
        <v>IEMD</v>
      </c>
      <c r="C38" s="2">
        <f>IF(ISTEXT(D38),MAX($C$4:$C37)+1,"")</f>
        <v>31</v>
      </c>
      <c r="D38" s="159" t="s">
        <v>11</v>
      </c>
      <c r="E38" s="228" t="s">
        <v>369</v>
      </c>
      <c r="F38" s="176" t="s">
        <v>43</v>
      </c>
      <c r="G38" s="177"/>
      <c r="H38" s="184"/>
      <c r="I38" s="188">
        <f t="shared" si="6"/>
        <v>1</v>
      </c>
      <c r="J38" s="189">
        <f t="shared" si="7"/>
        <v>0</v>
      </c>
      <c r="K38" s="220">
        <f t="shared" si="8"/>
        <v>0</v>
      </c>
      <c r="L38" s="38"/>
    </row>
    <row r="39" spans="2:12" ht="30" customHeight="1" x14ac:dyDescent="0.3">
      <c r="B39" s="37" t="str">
        <f t="shared" si="0"/>
        <v>IEMD</v>
      </c>
      <c r="C39" s="2">
        <f>IF(ISTEXT(D39),MAX($C$4:$C38)+1,"")</f>
        <v>32</v>
      </c>
      <c r="D39" s="159" t="s">
        <v>11</v>
      </c>
      <c r="E39" s="228" t="s">
        <v>370</v>
      </c>
      <c r="F39" s="176" t="s">
        <v>43</v>
      </c>
      <c r="G39" s="177"/>
      <c r="H39" s="184"/>
      <c r="I39" s="188">
        <f t="shared" si="6"/>
        <v>1</v>
      </c>
      <c r="J39" s="189">
        <f t="shared" si="7"/>
        <v>0</v>
      </c>
      <c r="K39" s="220">
        <f t="shared" si="8"/>
        <v>0</v>
      </c>
      <c r="L39" s="38"/>
    </row>
    <row r="40" spans="2:12" ht="30" customHeight="1" x14ac:dyDescent="0.3">
      <c r="B40" s="37" t="str">
        <f t="shared" si="0"/>
        <v>IEMD</v>
      </c>
      <c r="C40" s="2">
        <f>IF(ISTEXT(D40),MAX($C$4:$C39)+1,"")</f>
        <v>33</v>
      </c>
      <c r="D40" s="159" t="s">
        <v>11</v>
      </c>
      <c r="E40" s="228" t="s">
        <v>371</v>
      </c>
      <c r="F40" s="176" t="s">
        <v>43</v>
      </c>
      <c r="G40" s="177"/>
      <c r="H40" s="184"/>
      <c r="I40" s="188">
        <f t="shared" si="6"/>
        <v>1</v>
      </c>
      <c r="J40" s="189">
        <f t="shared" si="7"/>
        <v>0</v>
      </c>
      <c r="K40" s="220">
        <f t="shared" si="8"/>
        <v>0</v>
      </c>
      <c r="L40" s="39"/>
    </row>
    <row r="41" spans="2:12" ht="30" customHeight="1" x14ac:dyDescent="0.3">
      <c r="B41" s="37" t="str">
        <f t="shared" si="0"/>
        <v>IEMD</v>
      </c>
      <c r="C41" s="2">
        <f>IF(ISTEXT(D41),MAX($C$4:$C40)+1,"")</f>
        <v>34</v>
      </c>
      <c r="D41" s="159" t="s">
        <v>11</v>
      </c>
      <c r="E41" s="228" t="s">
        <v>372</v>
      </c>
      <c r="F41" s="176" t="s">
        <v>43</v>
      </c>
      <c r="G41" s="177"/>
      <c r="H41" s="184"/>
      <c r="I41" s="188">
        <f t="shared" ref="I41:I52" si="9">VLOOKUP($D41,SpecData,2,FALSE)</f>
        <v>1</v>
      </c>
      <c r="J41" s="189">
        <f t="shared" ref="J41:J52" si="10">VLOOKUP($F41,AvailabilityData,2,FALSE)</f>
        <v>0</v>
      </c>
      <c r="K41" s="220">
        <f>I41*J41</f>
        <v>0</v>
      </c>
      <c r="L41" s="38"/>
    </row>
    <row r="42" spans="2:12" ht="30" customHeight="1" x14ac:dyDescent="0.3">
      <c r="B42" s="37" t="str">
        <f t="shared" si="0"/>
        <v>IEMD</v>
      </c>
      <c r="C42" s="2">
        <f>IF(ISTEXT(D42),MAX($C$4:$C41)+1,"")</f>
        <v>35</v>
      </c>
      <c r="D42" s="159" t="s">
        <v>11</v>
      </c>
      <c r="E42" s="228" t="s">
        <v>373</v>
      </c>
      <c r="F42" s="176" t="s">
        <v>43</v>
      </c>
      <c r="G42" s="177"/>
      <c r="H42" s="184"/>
      <c r="I42" s="188">
        <f t="shared" si="9"/>
        <v>1</v>
      </c>
      <c r="J42" s="189">
        <f t="shared" si="10"/>
        <v>0</v>
      </c>
      <c r="K42" s="220">
        <f t="shared" ref="K42:K46" si="11">I42*J42</f>
        <v>0</v>
      </c>
      <c r="L42" s="38"/>
    </row>
    <row r="43" spans="2:12" ht="30" customHeight="1" x14ac:dyDescent="0.3">
      <c r="B43" s="37" t="str">
        <f t="shared" si="0"/>
        <v>IEMD</v>
      </c>
      <c r="C43" s="2">
        <f>IF(ISTEXT(D43),MAX($C$4:$C42)+1,"")</f>
        <v>36</v>
      </c>
      <c r="D43" s="159" t="s">
        <v>11</v>
      </c>
      <c r="E43" s="249" t="s">
        <v>374</v>
      </c>
      <c r="F43" s="176" t="s">
        <v>43</v>
      </c>
      <c r="G43" s="177"/>
      <c r="H43" s="184"/>
      <c r="I43" s="188">
        <f t="shared" si="9"/>
        <v>1</v>
      </c>
      <c r="J43" s="189">
        <f t="shared" si="10"/>
        <v>0</v>
      </c>
      <c r="K43" s="220">
        <f t="shared" si="11"/>
        <v>0</v>
      </c>
      <c r="L43" s="38"/>
    </row>
    <row r="44" spans="2:12" ht="46.8" customHeight="1" x14ac:dyDescent="0.3">
      <c r="B44" s="40" t="str">
        <f t="shared" si="0"/>
        <v/>
      </c>
      <c r="C44" s="1" t="str">
        <f>IF(ISTEXT(D44),MAX($C$4:$C43)+1,"")</f>
        <v/>
      </c>
      <c r="D44" s="3"/>
      <c r="E44" s="203" t="s">
        <v>1280</v>
      </c>
      <c r="F44" s="115"/>
      <c r="G44" s="31"/>
      <c r="H44" s="31"/>
      <c r="I44" s="31"/>
      <c r="J44" s="31"/>
      <c r="K44" s="31"/>
      <c r="L44" s="31"/>
    </row>
    <row r="45" spans="2:12" ht="30" customHeight="1" x14ac:dyDescent="0.3">
      <c r="B45" s="37" t="str">
        <f t="shared" si="0"/>
        <v>IEMD</v>
      </c>
      <c r="C45" s="2">
        <f>IF(ISTEXT(D45),MAX($C$4:$C44)+1,"")</f>
        <v>37</v>
      </c>
      <c r="D45" s="159" t="s">
        <v>11</v>
      </c>
      <c r="E45" s="227" t="s">
        <v>375</v>
      </c>
      <c r="F45" s="176" t="s">
        <v>43</v>
      </c>
      <c r="G45" s="177"/>
      <c r="H45" s="184"/>
      <c r="I45" s="188">
        <f t="shared" si="9"/>
        <v>1</v>
      </c>
      <c r="J45" s="189">
        <f t="shared" si="10"/>
        <v>0</v>
      </c>
      <c r="K45" s="220">
        <f t="shared" si="11"/>
        <v>0</v>
      </c>
      <c r="L45" s="38"/>
    </row>
    <row r="46" spans="2:12" ht="30" customHeight="1" x14ac:dyDescent="0.3">
      <c r="B46" s="37" t="str">
        <f t="shared" si="0"/>
        <v>IEMD</v>
      </c>
      <c r="C46" s="2">
        <f>IF(ISTEXT(D46),MAX($C$4:$C45)+1,"")</f>
        <v>38</v>
      </c>
      <c r="D46" s="159" t="s">
        <v>11</v>
      </c>
      <c r="E46" s="228" t="s">
        <v>376</v>
      </c>
      <c r="F46" s="176" t="s">
        <v>43</v>
      </c>
      <c r="G46" s="177"/>
      <c r="H46" s="184"/>
      <c r="I46" s="188">
        <f t="shared" si="9"/>
        <v>1</v>
      </c>
      <c r="J46" s="189">
        <f t="shared" si="10"/>
        <v>0</v>
      </c>
      <c r="K46" s="220">
        <f t="shared" si="11"/>
        <v>0</v>
      </c>
      <c r="L46" s="38"/>
    </row>
    <row r="47" spans="2:12" ht="30" customHeight="1" x14ac:dyDescent="0.3">
      <c r="B47" s="37" t="str">
        <f t="shared" si="0"/>
        <v>IEMD</v>
      </c>
      <c r="C47" s="2">
        <f>IF(ISTEXT(D47),MAX($C$4:$C46)+1,"")</f>
        <v>39</v>
      </c>
      <c r="D47" s="159" t="s">
        <v>9</v>
      </c>
      <c r="E47" s="228" t="s">
        <v>377</v>
      </c>
      <c r="F47" s="176" t="s">
        <v>43</v>
      </c>
      <c r="G47" s="186"/>
      <c r="H47" s="234"/>
      <c r="I47" s="179">
        <f t="shared" si="9"/>
        <v>3</v>
      </c>
      <c r="J47" s="180">
        <f t="shared" si="10"/>
        <v>0</v>
      </c>
      <c r="K47" s="181">
        <f>I47*J47</f>
        <v>0</v>
      </c>
      <c r="L47" s="38"/>
    </row>
    <row r="48" spans="2:12" ht="30" customHeight="1" x14ac:dyDescent="0.3">
      <c r="B48" s="37" t="str">
        <f t="shared" si="0"/>
        <v>IEMD</v>
      </c>
      <c r="C48" s="2">
        <f>IF(ISTEXT(D48),MAX($C$4:$C47)+1,"")</f>
        <v>40</v>
      </c>
      <c r="D48" s="159" t="s">
        <v>9</v>
      </c>
      <c r="E48" s="163" t="s">
        <v>378</v>
      </c>
      <c r="F48" s="176" t="s">
        <v>43</v>
      </c>
      <c r="G48" s="177"/>
      <c r="H48" s="184"/>
      <c r="I48" s="188">
        <f t="shared" si="9"/>
        <v>3</v>
      </c>
      <c r="J48" s="189">
        <f t="shared" si="10"/>
        <v>0</v>
      </c>
      <c r="K48" s="220">
        <f t="shared" ref="K48:K52" si="12">I48*J48</f>
        <v>0</v>
      </c>
      <c r="L48" s="38"/>
    </row>
    <row r="49" spans="2:12" ht="30" customHeight="1" x14ac:dyDescent="0.3">
      <c r="B49" s="37" t="str">
        <f t="shared" si="0"/>
        <v>IEMD</v>
      </c>
      <c r="C49" s="2">
        <f>IF(ISTEXT(D49),MAX($C$4:$C48)+1,"")</f>
        <v>41</v>
      </c>
      <c r="D49" s="159" t="s">
        <v>11</v>
      </c>
      <c r="E49" s="163" t="s">
        <v>379</v>
      </c>
      <c r="F49" s="176" t="s">
        <v>43</v>
      </c>
      <c r="G49" s="177"/>
      <c r="H49" s="184"/>
      <c r="I49" s="188">
        <f t="shared" si="9"/>
        <v>1</v>
      </c>
      <c r="J49" s="189">
        <f t="shared" si="10"/>
        <v>0</v>
      </c>
      <c r="K49" s="220">
        <f t="shared" si="12"/>
        <v>0</v>
      </c>
      <c r="L49" s="38"/>
    </row>
    <row r="50" spans="2:12" ht="48" customHeight="1" x14ac:dyDescent="0.3">
      <c r="B50" s="37" t="str">
        <f t="shared" si="0"/>
        <v>IEMD</v>
      </c>
      <c r="C50" s="2">
        <f>IF(ISTEXT(D50),MAX($C$4:$C49)+1,"")</f>
        <v>42</v>
      </c>
      <c r="D50" s="159" t="s">
        <v>11</v>
      </c>
      <c r="E50" s="163" t="s">
        <v>380</v>
      </c>
      <c r="F50" s="176" t="s">
        <v>43</v>
      </c>
      <c r="G50" s="177"/>
      <c r="H50" s="184"/>
      <c r="I50" s="188">
        <f t="shared" si="9"/>
        <v>1</v>
      </c>
      <c r="J50" s="189">
        <f t="shared" si="10"/>
        <v>0</v>
      </c>
      <c r="K50" s="220">
        <f t="shared" si="12"/>
        <v>0</v>
      </c>
      <c r="L50" s="38"/>
    </row>
    <row r="51" spans="2:12" ht="45" customHeight="1" x14ac:dyDescent="0.3">
      <c r="B51" s="37" t="str">
        <f t="shared" si="0"/>
        <v>IEMD</v>
      </c>
      <c r="C51" s="2">
        <f>IF(ISTEXT(D51),MAX($C$4:$C50)+1,"")</f>
        <v>43</v>
      </c>
      <c r="D51" s="159" t="s">
        <v>11</v>
      </c>
      <c r="E51" s="163" t="s">
        <v>381</v>
      </c>
      <c r="F51" s="176" t="s">
        <v>43</v>
      </c>
      <c r="G51" s="177"/>
      <c r="H51" s="184"/>
      <c r="I51" s="188">
        <f t="shared" si="9"/>
        <v>1</v>
      </c>
      <c r="J51" s="189">
        <f t="shared" si="10"/>
        <v>0</v>
      </c>
      <c r="K51" s="220">
        <f t="shared" si="12"/>
        <v>0</v>
      </c>
      <c r="L51" s="38"/>
    </row>
    <row r="52" spans="2:12" ht="45" customHeight="1" x14ac:dyDescent="0.3">
      <c r="B52" s="164" t="str">
        <f t="shared" si="0"/>
        <v>IEMD</v>
      </c>
      <c r="C52" s="165">
        <f>IF(ISTEXT(D52),MAX($C$4:$C51)+1,"")</f>
        <v>44</v>
      </c>
      <c r="D52" s="159" t="s">
        <v>11</v>
      </c>
      <c r="E52" s="160" t="s">
        <v>382</v>
      </c>
      <c r="F52" s="176" t="s">
        <v>43</v>
      </c>
      <c r="G52" s="192"/>
      <c r="H52" s="193"/>
      <c r="I52" s="190">
        <f t="shared" si="9"/>
        <v>1</v>
      </c>
      <c r="J52" s="191">
        <f t="shared" si="10"/>
        <v>0</v>
      </c>
      <c r="K52" s="224">
        <f t="shared" si="12"/>
        <v>0</v>
      </c>
      <c r="L52" s="39"/>
    </row>
    <row r="53" spans="2:12" ht="8.25" customHeight="1" x14ac:dyDescent="0.3"/>
    <row r="54" spans="2:12" x14ac:dyDescent="0.3"/>
  </sheetData>
  <sheetProtection algorithmName="SHA-512" hashValue="yaqXsWiBu97V/PnkbrO5ki8+1XqtavEKPTfOTTOJcJ0FHksucYHhiDN7EXSfatqDQSpuz+BZ4b3eudb+Wa8VWQ==" saltValue="8nOdA0Xp/slvcTEMY1jQYQ==" spinCount="100000" sheet="1" selectLockedCells="1"/>
  <conditionalFormatting sqref="D4:D6">
    <cfRule type="cellIs" dxfId="239" priority="19" operator="equal">
      <formula>"Important"</formula>
    </cfRule>
    <cfRule type="cellIs" dxfId="238" priority="20" operator="equal">
      <formula>"Crucial"</formula>
    </cfRule>
    <cfRule type="cellIs" dxfId="237" priority="21" operator="equal">
      <formula>"N/A"</formula>
    </cfRule>
  </conditionalFormatting>
  <conditionalFormatting sqref="D8:D11">
    <cfRule type="cellIs" dxfId="236" priority="16" operator="equal">
      <formula>"Important"</formula>
    </cfRule>
    <cfRule type="cellIs" dxfId="235" priority="17" operator="equal">
      <formula>"Crucial"</formula>
    </cfRule>
    <cfRule type="cellIs" dxfId="234" priority="18" operator="equal">
      <formula>"N/A"</formula>
    </cfRule>
  </conditionalFormatting>
  <conditionalFormatting sqref="D13:D28">
    <cfRule type="cellIs" dxfId="233" priority="25" operator="equal">
      <formula>"Important"</formula>
    </cfRule>
    <cfRule type="cellIs" dxfId="232" priority="26" operator="equal">
      <formula>"Crucial"</formula>
    </cfRule>
    <cfRule type="cellIs" dxfId="231" priority="27" operator="equal">
      <formula>"N/A"</formula>
    </cfRule>
  </conditionalFormatting>
  <conditionalFormatting sqref="D30:D33">
    <cfRule type="cellIs" dxfId="230" priority="10" operator="equal">
      <formula>"Important"</formula>
    </cfRule>
    <cfRule type="cellIs" dxfId="229" priority="11" operator="equal">
      <formula>"Crucial"</formula>
    </cfRule>
    <cfRule type="cellIs" dxfId="228" priority="12" operator="equal">
      <formula>"N/A"</formula>
    </cfRule>
  </conditionalFormatting>
  <conditionalFormatting sqref="D35:D43">
    <cfRule type="cellIs" dxfId="227" priority="7" operator="equal">
      <formula>"Important"</formula>
    </cfRule>
    <cfRule type="cellIs" dxfId="226" priority="8" operator="equal">
      <formula>"Crucial"</formula>
    </cfRule>
    <cfRule type="cellIs" dxfId="225" priority="9" operator="equal">
      <formula>"N/A"</formula>
    </cfRule>
  </conditionalFormatting>
  <conditionalFormatting sqref="D45:D52">
    <cfRule type="cellIs" dxfId="224" priority="1" operator="equal">
      <formula>"Important"</formula>
    </cfRule>
    <cfRule type="cellIs" dxfId="223" priority="2" operator="equal">
      <formula>"Crucial"</formula>
    </cfRule>
    <cfRule type="cellIs" dxfId="222" priority="3" operator="equal">
      <formula>"N/A"</formula>
    </cfRule>
  </conditionalFormatting>
  <conditionalFormatting sqref="F4:F52">
    <cfRule type="cellIs" dxfId="221" priority="28" operator="equal">
      <formula>"Function Not Available"</formula>
    </cfRule>
    <cfRule type="cellIs" dxfId="220" priority="29" operator="equal">
      <formula>"Function Available"</formula>
    </cfRule>
    <cfRule type="cellIs" dxfId="219" priority="30" operator="equal">
      <formula>"Exception"</formula>
    </cfRule>
  </conditionalFormatting>
  <dataValidations count="4">
    <dataValidation type="list" allowBlank="1" showInputMessage="1" showErrorMessage="1" errorTitle="Invalid specification type" error="Please enter a Specification type from the drop-down list." sqref="F6 F8:F11 F30:F33 F35:F43 F45:F52 F13:F28" xr:uid="{00000000-0002-0000-0C00-000000000000}">
      <formula1>AvailabilityType</formula1>
    </dataValidation>
    <dataValidation type="list" allowBlank="1" showInputMessage="1" showErrorMessage="1" errorTitle="Invalid specification type" error="Please enter a Specification type from the drop-down list." sqref="D6" xr:uid="{ABD758BC-17EC-49A2-81DE-3F4543E25859}">
      <formula1>SpecType</formula1>
    </dataValidation>
    <dataValidation type="list" allowBlank="1" showInputMessage="1" showErrorMessage="1" sqref="D4:D5 D8:D11 D30:D33 D35:D43 D45:D52 D13:D28" xr:uid="{C9526872-BF4C-46E0-B8D3-91EAC5C871F3}">
      <formula1>SpecType</formula1>
    </dataValidation>
    <dataValidation type="list" allowBlank="1" showInputMessage="1" showErrorMessage="1" sqref="F4:F5" xr:uid="{00000000-0002-0000-0C00-000003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00"/>
    <pageSetUpPr fitToPage="1"/>
  </sheetPr>
  <dimension ref="A1:M20"/>
  <sheetViews>
    <sheetView showGridLines="0" zoomScale="80" zoomScaleNormal="80" workbookViewId="0">
      <selection activeCell="D4" sqref="D4"/>
    </sheetView>
  </sheetViews>
  <sheetFormatPr defaultColWidth="0" defaultRowHeight="14.4" zeroHeight="1" x14ac:dyDescent="0.3"/>
  <cols>
    <col min="1" max="1" width="1" customWidth="1"/>
    <col min="2" max="2" width="11.6640625" customWidth="1"/>
    <col min="3" max="3" width="11.44140625" customWidth="1"/>
    <col min="4" max="4" width="23.33203125" style="145" customWidth="1"/>
    <col min="5" max="5" width="65.6640625" style="74" customWidth="1"/>
    <col min="6" max="6" width="28.6640625" customWidth="1"/>
    <col min="7" max="7" width="15.44140625" style="35" hidden="1" customWidth="1"/>
    <col min="8" max="11" width="12.6640625" hidden="1" customWidth="1"/>
    <col min="12" max="12" width="49.44140625" style="145" customWidth="1"/>
    <col min="13" max="13" width="8.6640625" customWidth="1"/>
    <col min="14" max="16384" width="8.6640625" hidden="1"/>
  </cols>
  <sheetData>
    <row r="1" spans="2:12" ht="3.6" customHeight="1" thickBot="1" x14ac:dyDescent="0.35"/>
    <row r="2" spans="2:12" ht="129" customHeight="1" thickBot="1" x14ac:dyDescent="0.35">
      <c r="B2" s="102" t="s">
        <v>44</v>
      </c>
      <c r="C2" s="102" t="s">
        <v>45</v>
      </c>
      <c r="D2" s="102" t="s">
        <v>46</v>
      </c>
      <c r="E2" s="102" t="s">
        <v>383</v>
      </c>
      <c r="F2" s="102" t="s">
        <v>42</v>
      </c>
      <c r="G2" s="103" t="s">
        <v>48</v>
      </c>
      <c r="H2" s="103" t="s">
        <v>49</v>
      </c>
      <c r="I2" s="104" t="s">
        <v>50</v>
      </c>
      <c r="J2" s="104" t="s">
        <v>51</v>
      </c>
      <c r="K2" s="105" t="s">
        <v>14</v>
      </c>
      <c r="L2" s="106" t="s">
        <v>52</v>
      </c>
    </row>
    <row r="3" spans="2:12" ht="16.2" thickBot="1" x14ac:dyDescent="0.35">
      <c r="B3" s="45" t="s">
        <v>384</v>
      </c>
      <c r="C3" s="8"/>
      <c r="D3" s="8"/>
      <c r="E3" s="8"/>
      <c r="F3" s="8"/>
      <c r="G3" s="34" t="s">
        <v>54</v>
      </c>
      <c r="H3" s="7">
        <f>COUNTA(D4:D478)</f>
        <v>2</v>
      </c>
      <c r="I3" s="24"/>
      <c r="J3" s="25" t="s">
        <v>55</v>
      </c>
      <c r="K3" s="26">
        <f>SUM(K4:K478)</f>
        <v>0</v>
      </c>
      <c r="L3" s="46"/>
    </row>
    <row r="4" spans="2:12" ht="30" customHeight="1" x14ac:dyDescent="0.3">
      <c r="B4" s="48" t="s">
        <v>385</v>
      </c>
      <c r="C4" s="2">
        <v>1</v>
      </c>
      <c r="D4" s="146" t="s">
        <v>11</v>
      </c>
      <c r="E4" s="60" t="s">
        <v>386</v>
      </c>
      <c r="F4" s="109" t="s">
        <v>43</v>
      </c>
      <c r="G4" s="29" t="s">
        <v>58</v>
      </c>
      <c r="H4" s="110">
        <f>COUNTIF(F4:F478,"Select from Drop Down")</f>
        <v>2</v>
      </c>
      <c r="I4" s="111">
        <f>VLOOKUP($D4,SpecData,2,FALSE)</f>
        <v>1</v>
      </c>
      <c r="J4" s="112">
        <f>VLOOKUP($F4,AvailabilityData,2,FALSE)</f>
        <v>0</v>
      </c>
      <c r="K4" s="113">
        <f>I4*J4</f>
        <v>0</v>
      </c>
      <c r="L4" s="47"/>
    </row>
    <row r="5" spans="2:12" ht="30" customHeight="1" thickBot="1" x14ac:dyDescent="0.35">
      <c r="B5" s="52" t="str">
        <f>IF(C5="","",$B$4)</f>
        <v>IEBill</v>
      </c>
      <c r="C5" s="53">
        <f>IF(ISTEXT(D5),MAX($C$4:$C4)+1,"")</f>
        <v>2</v>
      </c>
      <c r="D5" s="147" t="s">
        <v>11</v>
      </c>
      <c r="E5" s="78" t="s">
        <v>387</v>
      </c>
      <c r="F5" s="117" t="s">
        <v>43</v>
      </c>
      <c r="G5" s="129" t="s">
        <v>60</v>
      </c>
      <c r="H5" s="130">
        <f>COUNTIF(F4:F478,"Function Available")</f>
        <v>0</v>
      </c>
      <c r="I5" s="118">
        <f>VLOOKUP($D5,SpecData,2,FALSE)</f>
        <v>1</v>
      </c>
      <c r="J5" s="119">
        <f>VLOOKUP($F5,AvailabilityData,2,FALSE)</f>
        <v>0</v>
      </c>
      <c r="K5" s="120">
        <f>I5*J5</f>
        <v>0</v>
      </c>
      <c r="L5" s="54"/>
    </row>
    <row r="6" spans="2:12" ht="30" hidden="1" customHeight="1" x14ac:dyDescent="0.3">
      <c r="B6" s="61"/>
      <c r="C6" s="61"/>
      <c r="D6" s="148"/>
      <c r="E6" s="77"/>
      <c r="F6" s="121"/>
      <c r="G6" s="34" t="s">
        <v>62</v>
      </c>
      <c r="H6" s="7">
        <f>COUNTIF(F4:F478,"Function Not Available")</f>
        <v>0</v>
      </c>
      <c r="I6" s="123"/>
      <c r="J6" s="124"/>
      <c r="K6" s="123"/>
      <c r="L6" s="44"/>
    </row>
    <row r="7" spans="2:12" ht="30" hidden="1" customHeight="1" x14ac:dyDescent="0.3">
      <c r="B7" s="73"/>
      <c r="C7" s="73"/>
      <c r="D7" s="149"/>
      <c r="E7" s="62"/>
      <c r="F7" s="125"/>
      <c r="G7" s="29" t="s">
        <v>64</v>
      </c>
      <c r="H7" s="110">
        <f>COUNTIF(F4:F478,"Exception")</f>
        <v>0</v>
      </c>
      <c r="I7" s="127"/>
      <c r="J7" s="128"/>
      <c r="K7" s="127"/>
      <c r="L7" s="38"/>
    </row>
    <row r="8" spans="2:12" ht="30" hidden="1" customHeight="1" x14ac:dyDescent="0.3">
      <c r="B8" s="73"/>
      <c r="C8" s="73"/>
      <c r="D8" s="149"/>
      <c r="E8" s="62"/>
      <c r="F8" s="125"/>
      <c r="G8" s="29" t="s">
        <v>66</v>
      </c>
      <c r="H8" s="126">
        <f>COUNTIFS(D:D,"=Crucial",F:F,"=Select From Drop Down")</f>
        <v>0</v>
      </c>
      <c r="I8" s="127"/>
      <c r="J8" s="128"/>
      <c r="K8" s="127"/>
      <c r="L8" s="38"/>
    </row>
    <row r="9" spans="2:12" ht="30" hidden="1" customHeight="1" x14ac:dyDescent="0.3">
      <c r="B9" s="73"/>
      <c r="C9" s="73"/>
      <c r="D9" s="149"/>
      <c r="E9" s="62"/>
      <c r="F9" s="125"/>
      <c r="G9" s="29" t="s">
        <v>68</v>
      </c>
      <c r="H9" s="126">
        <f>COUNTIFS(D:D,"=Crucial",F:F,"=Function Available")</f>
        <v>0</v>
      </c>
      <c r="I9" s="127"/>
      <c r="J9" s="128"/>
      <c r="K9" s="127"/>
      <c r="L9" s="38"/>
    </row>
    <row r="10" spans="2:12" ht="30" hidden="1" customHeight="1" x14ac:dyDescent="0.3">
      <c r="B10" s="73"/>
      <c r="C10" s="73"/>
      <c r="D10" s="149"/>
      <c r="E10" s="62"/>
      <c r="F10" s="125"/>
      <c r="G10" s="29" t="s">
        <v>70</v>
      </c>
      <c r="H10" s="126">
        <f>COUNTIFS(D:D,"=Crucial",F:F,"=Function Not Available")</f>
        <v>0</v>
      </c>
      <c r="I10" s="127"/>
      <c r="J10" s="128"/>
      <c r="K10" s="127"/>
      <c r="L10" s="38"/>
    </row>
    <row r="11" spans="2:12" ht="30" hidden="1" customHeight="1" x14ac:dyDescent="0.3">
      <c r="B11" s="73"/>
      <c r="C11" s="73"/>
      <c r="D11" s="149"/>
      <c r="E11" s="72"/>
      <c r="F11" s="125"/>
      <c r="G11" s="29" t="s">
        <v>72</v>
      </c>
      <c r="H11" s="126">
        <f>COUNTIFS(D:D,"=Crucial",F:F,"=Exception")</f>
        <v>0</v>
      </c>
      <c r="I11" s="127"/>
      <c r="J11" s="128"/>
      <c r="K11" s="127"/>
      <c r="L11" s="38"/>
    </row>
    <row r="12" spans="2:12" ht="30" hidden="1" customHeight="1" x14ac:dyDescent="0.3">
      <c r="B12" s="73"/>
      <c r="C12" s="73"/>
      <c r="D12" s="149"/>
      <c r="E12" s="62"/>
      <c r="F12" s="125"/>
      <c r="G12" s="34" t="s">
        <v>74</v>
      </c>
      <c r="H12" s="122">
        <f>COUNTIFS(D:D,"=Important",F:F,"=Select From Drop Down")</f>
        <v>0</v>
      </c>
      <c r="I12" s="127"/>
      <c r="J12" s="128"/>
      <c r="K12" s="127"/>
      <c r="L12" s="38"/>
    </row>
    <row r="13" spans="2:12" ht="30" hidden="1" customHeight="1" x14ac:dyDescent="0.3">
      <c r="B13" s="73"/>
      <c r="C13" s="73"/>
      <c r="D13" s="149"/>
      <c r="E13" s="62"/>
      <c r="F13" s="125"/>
      <c r="G13" s="34" t="s">
        <v>76</v>
      </c>
      <c r="H13" s="122">
        <f>COUNTIFS(D:D,"=Important",F:F,"=Function Available")</f>
        <v>0</v>
      </c>
      <c r="I13" s="127"/>
      <c r="J13" s="128"/>
      <c r="K13" s="127"/>
      <c r="L13" s="38"/>
    </row>
    <row r="14" spans="2:12" ht="30" hidden="1" customHeight="1" x14ac:dyDescent="0.3">
      <c r="B14" s="73"/>
      <c r="C14" s="73"/>
      <c r="D14" s="149"/>
      <c r="E14" s="62"/>
      <c r="F14" s="125"/>
      <c r="G14" s="29" t="s">
        <v>78</v>
      </c>
      <c r="H14" s="126">
        <f>COUNTIFS(D:D,"=Important",F:F,"=Function Not Available")</f>
        <v>0</v>
      </c>
      <c r="I14" s="127"/>
      <c r="J14" s="128"/>
      <c r="K14" s="127"/>
      <c r="L14" s="38"/>
    </row>
    <row r="15" spans="2:12" ht="30" hidden="1" customHeight="1" x14ac:dyDescent="0.3">
      <c r="B15" s="73"/>
      <c r="C15" s="73"/>
      <c r="D15" s="149"/>
      <c r="E15" s="62"/>
      <c r="F15" s="125"/>
      <c r="G15" s="29" t="s">
        <v>80</v>
      </c>
      <c r="H15" s="126">
        <f>COUNTIFS(D:D,"=Important",F:F,"=Exception")</f>
        <v>0</v>
      </c>
      <c r="I15" s="127"/>
      <c r="J15" s="128"/>
      <c r="K15" s="127"/>
      <c r="L15" s="38"/>
    </row>
    <row r="16" spans="2:12" ht="30" hidden="1" customHeight="1" x14ac:dyDescent="0.3">
      <c r="B16" s="73"/>
      <c r="C16" s="73"/>
      <c r="D16" s="149"/>
      <c r="E16" s="62"/>
      <c r="F16" s="125"/>
      <c r="G16" s="29" t="s">
        <v>82</v>
      </c>
      <c r="H16" s="126">
        <f>COUNTIFS(D:D,"=Minimal",F:F,"=Select From Drop Down")</f>
        <v>2</v>
      </c>
      <c r="I16" s="127"/>
      <c r="J16" s="128"/>
      <c r="K16" s="127"/>
      <c r="L16" s="38"/>
    </row>
    <row r="17" spans="2:12" ht="30" hidden="1" customHeight="1" x14ac:dyDescent="0.3">
      <c r="B17" s="73"/>
      <c r="C17" s="73"/>
      <c r="D17" s="149"/>
      <c r="E17" s="62"/>
      <c r="F17" s="125"/>
      <c r="G17" s="29" t="s">
        <v>84</v>
      </c>
      <c r="H17" s="126">
        <f>COUNTIFS(D:D,"=Minimal",F:F,"=Function Available")</f>
        <v>0</v>
      </c>
      <c r="I17" s="127"/>
      <c r="J17" s="128"/>
      <c r="K17" s="127"/>
      <c r="L17" s="38"/>
    </row>
    <row r="18" spans="2:12" ht="30" hidden="1" customHeight="1" x14ac:dyDescent="0.3">
      <c r="B18" s="73"/>
      <c r="C18" s="73"/>
      <c r="D18" s="149"/>
      <c r="E18" s="62"/>
      <c r="F18" s="125"/>
      <c r="G18" s="29" t="s">
        <v>86</v>
      </c>
      <c r="H18" s="126">
        <f>COUNTIFS(D:D,"=Minimal",F:F,"=Function Not Available")</f>
        <v>0</v>
      </c>
      <c r="I18" s="127"/>
      <c r="J18" s="128"/>
      <c r="K18" s="127"/>
      <c r="L18" s="38"/>
    </row>
    <row r="19" spans="2:12" ht="30" hidden="1" customHeight="1" x14ac:dyDescent="0.3">
      <c r="B19" s="73"/>
      <c r="C19" s="73"/>
      <c r="D19" s="149"/>
      <c r="E19" s="62"/>
      <c r="F19" s="125"/>
      <c r="G19" s="29" t="s">
        <v>88</v>
      </c>
      <c r="H19" s="126">
        <f>COUNTIFS(D:D,"=Minimal",F:F,"=Exception")</f>
        <v>0</v>
      </c>
      <c r="I19" s="127"/>
      <c r="J19" s="128"/>
      <c r="K19" s="127"/>
      <c r="L19" s="38"/>
    </row>
    <row r="20" spans="2:12" ht="9" customHeight="1" x14ac:dyDescent="0.3"/>
  </sheetData>
  <sheetProtection selectLockedCells="1"/>
  <conditionalFormatting sqref="D4:D19">
    <cfRule type="cellIs" dxfId="218" priority="10" operator="equal">
      <formula>"Important"</formula>
    </cfRule>
    <cfRule type="cellIs" dxfId="217" priority="11" operator="equal">
      <formula>"Crucial"</formula>
    </cfRule>
    <cfRule type="cellIs" dxfId="216" priority="12" operator="equal">
      <formula>"N/A"</formula>
    </cfRule>
  </conditionalFormatting>
  <conditionalFormatting sqref="F4:F19">
    <cfRule type="cellIs" dxfId="215" priority="1" operator="equal">
      <formula>"Function Not Available"</formula>
    </cfRule>
    <cfRule type="cellIs" dxfId="214" priority="2" operator="equal">
      <formula>"Function Available"</formula>
    </cfRule>
    <cfRule type="cellIs" dxfId="213" priority="3" operator="equal">
      <formula>"Exception"</formula>
    </cfRule>
  </conditionalFormatting>
  <dataValidations count="2">
    <dataValidation type="list" allowBlank="1" showInputMessage="1" showErrorMessage="1" sqref="D4:D5" xr:uid="{00000000-0002-0000-0D00-000000000000}">
      <formula1>SpecType</formula1>
    </dataValidation>
    <dataValidation type="list" allowBlank="1" showInputMessage="1" showErrorMessage="1" sqref="F4:F5" xr:uid="{00000000-0002-0000-0D00-000001000000}">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FFCC00"/>
  </sheetPr>
  <dimension ref="A1:M24"/>
  <sheetViews>
    <sheetView showGridLines="0" zoomScale="80" zoomScaleNormal="80" zoomScalePageLayoutView="40" workbookViewId="0">
      <selection activeCell="F4" sqref="F4"/>
    </sheetView>
  </sheetViews>
  <sheetFormatPr defaultColWidth="0" defaultRowHeight="14.4" zeroHeight="1" x14ac:dyDescent="0.3"/>
  <cols>
    <col min="1" max="1" width="1"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5.7" customHeight="1" x14ac:dyDescent="0.3"/>
    <row r="2" spans="2:12" s="158" customFormat="1" ht="129" customHeight="1" thickBot="1" x14ac:dyDescent="0.3">
      <c r="B2" s="96" t="s">
        <v>44</v>
      </c>
      <c r="C2" s="97" t="s">
        <v>45</v>
      </c>
      <c r="D2" s="97" t="s">
        <v>46</v>
      </c>
      <c r="E2" s="97" t="s">
        <v>388</v>
      </c>
      <c r="F2" s="97" t="s">
        <v>42</v>
      </c>
      <c r="G2" s="98" t="s">
        <v>48</v>
      </c>
      <c r="H2" s="98" t="s">
        <v>49</v>
      </c>
      <c r="I2" s="99" t="s">
        <v>50</v>
      </c>
      <c r="J2" s="99" t="s">
        <v>51</v>
      </c>
      <c r="K2" s="100" t="s">
        <v>14</v>
      </c>
      <c r="L2" s="101" t="s">
        <v>52</v>
      </c>
    </row>
    <row r="3" spans="2:12" ht="16.2" thickBot="1" x14ac:dyDescent="0.35">
      <c r="B3" s="8" t="s">
        <v>389</v>
      </c>
      <c r="C3" s="8"/>
      <c r="D3" s="8"/>
      <c r="E3" s="8"/>
      <c r="F3" s="8"/>
      <c r="G3" s="34" t="s">
        <v>54</v>
      </c>
      <c r="H3" s="7">
        <f>COUNTA(D4:D501)</f>
        <v>19</v>
      </c>
      <c r="I3" s="24"/>
      <c r="J3" s="25" t="s">
        <v>55</v>
      </c>
      <c r="K3" s="26">
        <f>SUM(K4:K501)</f>
        <v>0</v>
      </c>
      <c r="L3" s="8"/>
    </row>
    <row r="4" spans="2:12" ht="30" customHeight="1" x14ac:dyDescent="0.3">
      <c r="B4" s="37" t="s">
        <v>390</v>
      </c>
      <c r="C4" s="2">
        <v>1</v>
      </c>
      <c r="D4" s="159" t="s">
        <v>9</v>
      </c>
      <c r="E4" s="160" t="s">
        <v>391</v>
      </c>
      <c r="F4" s="176" t="s">
        <v>43</v>
      </c>
      <c r="G4" s="177" t="s">
        <v>58</v>
      </c>
      <c r="H4" s="178">
        <f>COUNTIF(F4:F501,"Select from Drop Down")</f>
        <v>19</v>
      </c>
      <c r="I4" s="179">
        <f>VLOOKUP($D4,SpecData,2,FALSE)</f>
        <v>3</v>
      </c>
      <c r="J4" s="180">
        <f>VLOOKUP($F4,AvailabilityData,2,FALSE)</f>
        <v>0</v>
      </c>
      <c r="K4" s="181">
        <f>I4*J4</f>
        <v>0</v>
      </c>
      <c r="L4" s="38"/>
    </row>
    <row r="5" spans="2:12" ht="30" customHeight="1" x14ac:dyDescent="0.3">
      <c r="B5" s="37" t="str">
        <f>IF(C5="","",$B$4)</f>
        <v>IE911</v>
      </c>
      <c r="C5" s="2">
        <v>2</v>
      </c>
      <c r="D5" s="159" t="s">
        <v>9</v>
      </c>
      <c r="E5" s="163" t="s">
        <v>392</v>
      </c>
      <c r="F5" s="176" t="s">
        <v>43</v>
      </c>
      <c r="G5" s="177" t="s">
        <v>60</v>
      </c>
      <c r="H5" s="178">
        <f>COUNTIF(F4:F501,"Function Available")</f>
        <v>0</v>
      </c>
      <c r="I5" s="179">
        <f>VLOOKUP($D5,SpecData,2,FALSE)</f>
        <v>3</v>
      </c>
      <c r="J5" s="180">
        <f>VLOOKUP($F5,AvailabilityData,2,FALSE)</f>
        <v>0</v>
      </c>
      <c r="K5" s="181">
        <f>I5*J5</f>
        <v>0</v>
      </c>
      <c r="L5" s="38"/>
    </row>
    <row r="6" spans="2:12" ht="30" customHeight="1" x14ac:dyDescent="0.3">
      <c r="B6" s="37" t="str">
        <f t="shared" ref="B6:B23" si="0">IF(C6="","",$B$4)</f>
        <v>IE911</v>
      </c>
      <c r="C6" s="2">
        <v>3</v>
      </c>
      <c r="D6" s="159" t="s">
        <v>9</v>
      </c>
      <c r="E6" s="278" t="s">
        <v>393</v>
      </c>
      <c r="F6" s="176" t="s">
        <v>43</v>
      </c>
      <c r="G6" s="177" t="s">
        <v>62</v>
      </c>
      <c r="H6" s="184">
        <f>COUNTIF(F4:F501,"Function Not Available")</f>
        <v>0</v>
      </c>
      <c r="I6" s="179">
        <f t="shared" ref="I6:I13" si="1">VLOOKUP($D6,SpecData,2,FALSE)</f>
        <v>3</v>
      </c>
      <c r="J6" s="180">
        <f t="shared" ref="J6:J13" si="2">VLOOKUP($F6,AvailabilityData,2,FALSE)</f>
        <v>0</v>
      </c>
      <c r="K6" s="220">
        <f t="shared" ref="K6:K13" si="3">I6*J6</f>
        <v>0</v>
      </c>
      <c r="L6" s="38"/>
    </row>
    <row r="7" spans="2:12" ht="30" customHeight="1" x14ac:dyDescent="0.3">
      <c r="B7" s="37" t="str">
        <f t="shared" si="0"/>
        <v>IE911</v>
      </c>
      <c r="C7" s="2">
        <f>IF(ISTEXT(D7),MAX($C$6:$C6)+1,"")</f>
        <v>4</v>
      </c>
      <c r="D7" s="159" t="s">
        <v>9</v>
      </c>
      <c r="E7" s="163" t="s">
        <v>394</v>
      </c>
      <c r="F7" s="176" t="s">
        <v>43</v>
      </c>
      <c r="G7" s="177" t="s">
        <v>64</v>
      </c>
      <c r="H7" s="184">
        <f>COUNTIF(F4:F501,"Exception")</f>
        <v>0</v>
      </c>
      <c r="I7" s="179">
        <f t="shared" si="1"/>
        <v>3</v>
      </c>
      <c r="J7" s="180">
        <f t="shared" si="2"/>
        <v>0</v>
      </c>
      <c r="K7" s="181">
        <f t="shared" si="3"/>
        <v>0</v>
      </c>
      <c r="L7" s="38"/>
    </row>
    <row r="8" spans="2:12" ht="30" customHeight="1" x14ac:dyDescent="0.3">
      <c r="B8" s="37" t="str">
        <f t="shared" si="0"/>
        <v>IE911</v>
      </c>
      <c r="C8" s="2">
        <f>IF(ISTEXT(D8),MAX($C$6:$C7)+1,"")</f>
        <v>5</v>
      </c>
      <c r="D8" s="159" t="s">
        <v>9</v>
      </c>
      <c r="E8" s="163" t="s">
        <v>395</v>
      </c>
      <c r="F8" s="176" t="s">
        <v>43</v>
      </c>
      <c r="G8" s="177" t="s">
        <v>66</v>
      </c>
      <c r="H8" s="185">
        <f>COUNTIFS(D:D,"=Crucial",F:F,"=Select From Drop Down")</f>
        <v>18</v>
      </c>
      <c r="I8" s="179">
        <f t="shared" si="1"/>
        <v>3</v>
      </c>
      <c r="J8" s="180">
        <f t="shared" si="2"/>
        <v>0</v>
      </c>
      <c r="K8" s="220">
        <f t="shared" si="3"/>
        <v>0</v>
      </c>
      <c r="L8" s="38"/>
    </row>
    <row r="9" spans="2:12" ht="30" customHeight="1" x14ac:dyDescent="0.3">
      <c r="B9" s="37" t="str">
        <f t="shared" si="0"/>
        <v>IE911</v>
      </c>
      <c r="C9" s="2">
        <f>IF(ISTEXT(D9),MAX($C$6:$C8)+1,"")</f>
        <v>6</v>
      </c>
      <c r="D9" s="159" t="s">
        <v>9</v>
      </c>
      <c r="E9" s="163" t="s">
        <v>396</v>
      </c>
      <c r="F9" s="176" t="s">
        <v>43</v>
      </c>
      <c r="G9" s="177" t="s">
        <v>68</v>
      </c>
      <c r="H9" s="185">
        <f>COUNTIFS(D:D,"=Crucial",F:F,"=Function Available")</f>
        <v>0</v>
      </c>
      <c r="I9" s="179">
        <f t="shared" si="1"/>
        <v>3</v>
      </c>
      <c r="J9" s="180">
        <f t="shared" si="2"/>
        <v>0</v>
      </c>
      <c r="K9" s="220">
        <f t="shared" si="3"/>
        <v>0</v>
      </c>
      <c r="L9" s="38"/>
    </row>
    <row r="10" spans="2:12" ht="30" customHeight="1" x14ac:dyDescent="0.3">
      <c r="B10" s="37" t="str">
        <f t="shared" si="0"/>
        <v>IE911</v>
      </c>
      <c r="C10" s="2">
        <f>IF(ISTEXT(D10),MAX($C$6:$C9)+1,"")</f>
        <v>7</v>
      </c>
      <c r="D10" s="159" t="s">
        <v>9</v>
      </c>
      <c r="E10" s="235" t="s">
        <v>397</v>
      </c>
      <c r="F10" s="176" t="s">
        <v>43</v>
      </c>
      <c r="G10" s="177" t="s">
        <v>70</v>
      </c>
      <c r="H10" s="185">
        <f>COUNTIFS(D:D,"=Crucial",F:F,"=Function Not Available")</f>
        <v>0</v>
      </c>
      <c r="I10" s="179">
        <f t="shared" si="1"/>
        <v>3</v>
      </c>
      <c r="J10" s="180">
        <f t="shared" si="2"/>
        <v>0</v>
      </c>
      <c r="K10" s="220">
        <f t="shared" si="3"/>
        <v>0</v>
      </c>
      <c r="L10" s="38"/>
    </row>
    <row r="11" spans="2:12" ht="30" customHeight="1" x14ac:dyDescent="0.3">
      <c r="B11" s="40" t="str">
        <f t="shared" si="0"/>
        <v/>
      </c>
      <c r="C11" s="1" t="str">
        <f>IF(ISTEXT(D11),MAX($C$6:$C10)+1,"")</f>
        <v/>
      </c>
      <c r="D11" s="3"/>
      <c r="E11" s="226" t="s">
        <v>398</v>
      </c>
      <c r="F11" s="115"/>
      <c r="G11" s="31"/>
      <c r="H11" s="31"/>
      <c r="I11" s="31"/>
      <c r="J11" s="31"/>
      <c r="K11" s="31"/>
      <c r="L11" s="31"/>
    </row>
    <row r="12" spans="2:12" ht="30" customHeight="1" x14ac:dyDescent="0.3">
      <c r="B12" s="37" t="str">
        <f t="shared" si="0"/>
        <v>IE911</v>
      </c>
      <c r="C12" s="2">
        <f>IF(ISTEXT(D12),MAX($C$6:$C10)+1,"")</f>
        <v>8</v>
      </c>
      <c r="D12" s="159" t="s">
        <v>9</v>
      </c>
      <c r="E12" s="227" t="s">
        <v>399</v>
      </c>
      <c r="F12" s="176" t="s">
        <v>43</v>
      </c>
      <c r="G12" s="192" t="s">
        <v>72</v>
      </c>
      <c r="H12" s="187">
        <f>COUNTIFS(D:D,"=Crucial",F:F,"=Exception")</f>
        <v>0</v>
      </c>
      <c r="I12" s="179">
        <f t="shared" si="1"/>
        <v>3</v>
      </c>
      <c r="J12" s="180">
        <f t="shared" si="2"/>
        <v>0</v>
      </c>
      <c r="K12" s="181">
        <f t="shared" si="3"/>
        <v>0</v>
      </c>
      <c r="L12" s="41"/>
    </row>
    <row r="13" spans="2:12" ht="30" customHeight="1" x14ac:dyDescent="0.3">
      <c r="B13" s="37" t="str">
        <f t="shared" si="0"/>
        <v>IE911</v>
      </c>
      <c r="C13" s="2">
        <f>IF(ISTEXT(D13),MAX($C$6:$C12)+1,"")</f>
        <v>9</v>
      </c>
      <c r="D13" s="159" t="s">
        <v>9</v>
      </c>
      <c r="E13" s="228" t="s">
        <v>400</v>
      </c>
      <c r="F13" s="176" t="s">
        <v>43</v>
      </c>
      <c r="G13" s="229" t="s">
        <v>74</v>
      </c>
      <c r="H13" s="185">
        <f>COUNTIFS(D:D,"=Important",F:F,"=Select From Drop Down")</f>
        <v>1</v>
      </c>
      <c r="I13" s="188">
        <f t="shared" si="1"/>
        <v>3</v>
      </c>
      <c r="J13" s="189">
        <f t="shared" si="2"/>
        <v>0</v>
      </c>
      <c r="K13" s="220">
        <f t="shared" si="3"/>
        <v>0</v>
      </c>
      <c r="L13" s="38"/>
    </row>
    <row r="14" spans="2:12" ht="30" customHeight="1" x14ac:dyDescent="0.3">
      <c r="B14" s="37" t="str">
        <f t="shared" si="0"/>
        <v>IE911</v>
      </c>
      <c r="C14" s="2">
        <f>IF(ISTEXT(D14),MAX($C$6:$C13)+1,"")</f>
        <v>10</v>
      </c>
      <c r="D14" s="159" t="s">
        <v>9</v>
      </c>
      <c r="E14" s="228" t="s">
        <v>401</v>
      </c>
      <c r="F14" s="176" t="s">
        <v>43</v>
      </c>
      <c r="G14" s="186" t="s">
        <v>76</v>
      </c>
      <c r="H14" s="187">
        <f>COUNTIFS(D:D,"=Important",F:F,"=Function Available")</f>
        <v>0</v>
      </c>
      <c r="I14" s="179">
        <f t="shared" ref="I14:I23" si="4">VLOOKUP($D14,SpecData,2,FALSE)</f>
        <v>3</v>
      </c>
      <c r="J14" s="180">
        <f t="shared" ref="J14:J23" si="5">VLOOKUP($F14,AvailabilityData,2,FALSE)</f>
        <v>0</v>
      </c>
      <c r="K14" s="181">
        <f t="shared" ref="K14:K23" si="6">I14*J14</f>
        <v>0</v>
      </c>
      <c r="L14" s="38"/>
    </row>
    <row r="15" spans="2:12" ht="30" customHeight="1" x14ac:dyDescent="0.3">
      <c r="B15" s="37" t="str">
        <f t="shared" si="0"/>
        <v>IE911</v>
      </c>
      <c r="C15" s="2">
        <f>IF(ISTEXT(D15),MAX($C$6:$C14)+1,"")</f>
        <v>11</v>
      </c>
      <c r="D15" s="159" t="s">
        <v>9</v>
      </c>
      <c r="E15" s="228" t="s">
        <v>402</v>
      </c>
      <c r="F15" s="176" t="s">
        <v>43</v>
      </c>
      <c r="G15" s="177" t="s">
        <v>78</v>
      </c>
      <c r="H15" s="185">
        <f>COUNTIFS(D:D,"=Important",F:F,"=Function Not Available")</f>
        <v>0</v>
      </c>
      <c r="I15" s="188">
        <f t="shared" si="4"/>
        <v>3</v>
      </c>
      <c r="J15" s="189">
        <f t="shared" si="5"/>
        <v>0</v>
      </c>
      <c r="K15" s="220">
        <f t="shared" si="6"/>
        <v>0</v>
      </c>
      <c r="L15" s="38"/>
    </row>
    <row r="16" spans="2:12" ht="42.75" customHeight="1" x14ac:dyDescent="0.3">
      <c r="B16" s="37" t="str">
        <f t="shared" si="0"/>
        <v>IE911</v>
      </c>
      <c r="C16" s="2">
        <f>IF(ISTEXT(D16),MAX($C$6:$C15)+1,"")</f>
        <v>12</v>
      </c>
      <c r="D16" s="159" t="s">
        <v>9</v>
      </c>
      <c r="E16" s="163" t="s">
        <v>403</v>
      </c>
      <c r="F16" s="176" t="s">
        <v>43</v>
      </c>
      <c r="G16" s="177" t="s">
        <v>80</v>
      </c>
      <c r="H16" s="185">
        <f>COUNTIFS(D:D,"=Important",F:F,"=Exception")</f>
        <v>0</v>
      </c>
      <c r="I16" s="188">
        <f t="shared" si="4"/>
        <v>3</v>
      </c>
      <c r="J16" s="189">
        <f t="shared" si="5"/>
        <v>0</v>
      </c>
      <c r="K16" s="220">
        <f t="shared" si="6"/>
        <v>0</v>
      </c>
      <c r="L16" s="38"/>
    </row>
    <row r="17" spans="2:12" ht="30" customHeight="1" x14ac:dyDescent="0.3">
      <c r="B17" s="37" t="str">
        <f t="shared" si="0"/>
        <v>IE911</v>
      </c>
      <c r="C17" s="2">
        <f>IF(ISTEXT(D17),MAX($C$6:$C16)+1,"")</f>
        <v>13</v>
      </c>
      <c r="D17" s="159" t="s">
        <v>9</v>
      </c>
      <c r="E17" s="163" t="s">
        <v>404</v>
      </c>
      <c r="F17" s="176" t="s">
        <v>43</v>
      </c>
      <c r="G17" s="177" t="s">
        <v>82</v>
      </c>
      <c r="H17" s="185">
        <f>COUNTIFS(D:D,"=Minimal",F:F,"=Select From Drop Down")</f>
        <v>0</v>
      </c>
      <c r="I17" s="188">
        <f t="shared" si="4"/>
        <v>3</v>
      </c>
      <c r="J17" s="189">
        <f t="shared" si="5"/>
        <v>0</v>
      </c>
      <c r="K17" s="220">
        <f t="shared" si="6"/>
        <v>0</v>
      </c>
      <c r="L17" s="38"/>
    </row>
    <row r="18" spans="2:12" ht="30" customHeight="1" x14ac:dyDescent="0.3">
      <c r="B18" s="37" t="str">
        <f t="shared" si="0"/>
        <v>IE911</v>
      </c>
      <c r="C18" s="2">
        <f>IF(ISTEXT(D18),MAX($C$6:$C17)+1,"")</f>
        <v>14</v>
      </c>
      <c r="D18" s="159" t="s">
        <v>10</v>
      </c>
      <c r="E18" s="163" t="s">
        <v>405</v>
      </c>
      <c r="F18" s="176" t="s">
        <v>43</v>
      </c>
      <c r="G18" s="177" t="s">
        <v>84</v>
      </c>
      <c r="H18" s="185">
        <f>COUNTIFS(D:D,"=Minimal",F:F,"=Function Available")</f>
        <v>0</v>
      </c>
      <c r="I18" s="188">
        <f t="shared" si="4"/>
        <v>2</v>
      </c>
      <c r="J18" s="189">
        <f t="shared" si="5"/>
        <v>0</v>
      </c>
      <c r="K18" s="220">
        <f t="shared" si="6"/>
        <v>0</v>
      </c>
      <c r="L18" s="38"/>
    </row>
    <row r="19" spans="2:12" ht="47.25" customHeight="1" x14ac:dyDescent="0.3">
      <c r="B19" s="37" t="str">
        <f t="shared" si="0"/>
        <v>IE911</v>
      </c>
      <c r="C19" s="2">
        <f>IF(ISTEXT(D19),MAX($C$6:$C18)+1,"")</f>
        <v>15</v>
      </c>
      <c r="D19" s="159" t="s">
        <v>9</v>
      </c>
      <c r="E19" s="162" t="s">
        <v>406</v>
      </c>
      <c r="F19" s="176" t="s">
        <v>43</v>
      </c>
      <c r="G19" s="177" t="s">
        <v>86</v>
      </c>
      <c r="H19" s="185">
        <f>COUNTIFS(D:D,"=Minimal",F:F,"=Function Not Available")</f>
        <v>0</v>
      </c>
      <c r="I19" s="188">
        <f t="shared" si="4"/>
        <v>3</v>
      </c>
      <c r="J19" s="189">
        <f t="shared" si="5"/>
        <v>0</v>
      </c>
      <c r="K19" s="220">
        <f t="shared" si="6"/>
        <v>0</v>
      </c>
      <c r="L19" s="38"/>
    </row>
    <row r="20" spans="2:12" ht="30" customHeight="1" x14ac:dyDescent="0.3">
      <c r="B20" s="37" t="str">
        <f t="shared" si="0"/>
        <v>IE911</v>
      </c>
      <c r="C20" s="2">
        <f>IF(ISTEXT(D20),MAX($C$6:$C19)+1,"")</f>
        <v>16</v>
      </c>
      <c r="D20" s="159" t="s">
        <v>9</v>
      </c>
      <c r="E20" s="163" t="s">
        <v>407</v>
      </c>
      <c r="F20" s="176" t="s">
        <v>43</v>
      </c>
      <c r="G20" s="177" t="s">
        <v>88</v>
      </c>
      <c r="H20" s="185">
        <f>COUNTIFS(D:D,"=Minimal",F:F,"=Exception")</f>
        <v>0</v>
      </c>
      <c r="I20" s="188">
        <f t="shared" si="4"/>
        <v>3</v>
      </c>
      <c r="J20" s="189">
        <f t="shared" si="5"/>
        <v>0</v>
      </c>
      <c r="K20" s="220">
        <f t="shared" si="6"/>
        <v>0</v>
      </c>
      <c r="L20" s="38"/>
    </row>
    <row r="21" spans="2:12" ht="44.25" customHeight="1" x14ac:dyDescent="0.3">
      <c r="B21" s="37" t="str">
        <f t="shared" si="0"/>
        <v>IE911</v>
      </c>
      <c r="C21" s="2">
        <f>IF(ISTEXT(D21),MAX($C$6:$C20)+1,"")</f>
        <v>17</v>
      </c>
      <c r="D21" s="159" t="s">
        <v>9</v>
      </c>
      <c r="E21" s="163" t="s">
        <v>408</v>
      </c>
      <c r="F21" s="176" t="s">
        <v>43</v>
      </c>
      <c r="G21" s="177"/>
      <c r="H21" s="184"/>
      <c r="I21" s="188">
        <f t="shared" si="4"/>
        <v>3</v>
      </c>
      <c r="J21" s="189">
        <f t="shared" si="5"/>
        <v>0</v>
      </c>
      <c r="K21" s="220">
        <f t="shared" si="6"/>
        <v>0</v>
      </c>
      <c r="L21" s="38"/>
    </row>
    <row r="22" spans="2:12" ht="30" customHeight="1" x14ac:dyDescent="0.3">
      <c r="B22" s="37" t="str">
        <f t="shared" si="0"/>
        <v>IE911</v>
      </c>
      <c r="C22" s="2">
        <f>IF(ISTEXT(D22),MAX($C$6:$C21)+1,"")</f>
        <v>18</v>
      </c>
      <c r="D22" s="159" t="s">
        <v>9</v>
      </c>
      <c r="E22" s="163" t="s">
        <v>409</v>
      </c>
      <c r="F22" s="176" t="s">
        <v>43</v>
      </c>
      <c r="G22" s="177"/>
      <c r="H22" s="184"/>
      <c r="I22" s="188">
        <f t="shared" si="4"/>
        <v>3</v>
      </c>
      <c r="J22" s="189">
        <f t="shared" si="5"/>
        <v>0</v>
      </c>
      <c r="K22" s="220">
        <f t="shared" si="6"/>
        <v>0</v>
      </c>
      <c r="L22" s="38"/>
    </row>
    <row r="23" spans="2:12" ht="30" customHeight="1" x14ac:dyDescent="0.3">
      <c r="B23" s="164" t="str">
        <f t="shared" si="0"/>
        <v>IE911</v>
      </c>
      <c r="C23" s="165">
        <f>IF(ISTEXT(D23),MAX($C$6:$C22)+1,"")</f>
        <v>19</v>
      </c>
      <c r="D23" s="159" t="s">
        <v>9</v>
      </c>
      <c r="E23" s="235" t="s">
        <v>410</v>
      </c>
      <c r="F23" s="176" t="s">
        <v>43</v>
      </c>
      <c r="G23" s="192"/>
      <c r="H23" s="193"/>
      <c r="I23" s="190">
        <f t="shared" si="4"/>
        <v>3</v>
      </c>
      <c r="J23" s="191">
        <f t="shared" si="5"/>
        <v>0</v>
      </c>
      <c r="K23" s="224">
        <f t="shared" si="6"/>
        <v>0</v>
      </c>
      <c r="L23" s="39"/>
    </row>
    <row r="24" spans="2:12" ht="7.5" customHeight="1" x14ac:dyDescent="0.3"/>
  </sheetData>
  <sheetProtection algorithmName="SHA-512" hashValue="bTWAKsI+/3kXTi2UYVoVUnixflS5mMY3f9SVkbUtGVBxXfU6Z7K+CuLUQWE0P7TCSChaC1Jz+Rl7hxFrr2J1mw==" saltValue="vWaYwrWB56gz4cC2f7lBWg==" spinCount="100000" sheet="1" selectLockedCells="1"/>
  <conditionalFormatting sqref="D4:D10">
    <cfRule type="cellIs" dxfId="212" priority="4" operator="equal">
      <formula>"Important"</formula>
    </cfRule>
    <cfRule type="cellIs" dxfId="211" priority="5" operator="equal">
      <formula>"Crucial"</formula>
    </cfRule>
    <cfRule type="cellIs" dxfId="210" priority="6" operator="equal">
      <formula>"N/A"</formula>
    </cfRule>
  </conditionalFormatting>
  <conditionalFormatting sqref="D12:D23">
    <cfRule type="cellIs" dxfId="209" priority="1" operator="equal">
      <formula>"Important"</formula>
    </cfRule>
    <cfRule type="cellIs" dxfId="208" priority="2" operator="equal">
      <formula>"Crucial"</formula>
    </cfRule>
    <cfRule type="cellIs" dxfId="207" priority="3" operator="equal">
      <formula>"N/A"</formula>
    </cfRule>
  </conditionalFormatting>
  <conditionalFormatting sqref="F4:F23">
    <cfRule type="cellIs" dxfId="206" priority="10" operator="equal">
      <formula>"Function Not Available"</formula>
    </cfRule>
    <cfRule type="cellIs" dxfId="205" priority="11" operator="equal">
      <formula>"Function Available"</formula>
    </cfRule>
    <cfRule type="cellIs" dxfId="204" priority="12" operator="equal">
      <formula>"Exception"</formula>
    </cfRule>
  </conditionalFormatting>
  <dataValidations count="3">
    <dataValidation type="list" allowBlank="1" showInputMessage="1" showErrorMessage="1" errorTitle="Invalid specification type" error="Please enter a Specification type from the drop-down list." sqref="F6:F10 F12:F23" xr:uid="{00000000-0002-0000-0E00-000000000000}">
      <formula1>AvailabilityType</formula1>
    </dataValidation>
    <dataValidation type="list" allowBlank="1" showInputMessage="1" showErrorMessage="1" sqref="D4:D10 D12:D23" xr:uid="{65A89677-AA41-429D-AA2B-49758C8D6712}">
      <formula1>SpecType</formula1>
    </dataValidation>
    <dataValidation type="list" allowBlank="1" showInputMessage="1" showErrorMessage="1" sqref="F4:F5" xr:uid="{00000000-0002-0000-0E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A1:M22"/>
  <sheetViews>
    <sheetView showGridLines="0" topLeftCell="A2" zoomScale="80" zoomScaleNormal="8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6" customHeight="1" thickBot="1" x14ac:dyDescent="0.35"/>
    <row r="2" spans="2:12" ht="129" customHeight="1" thickBot="1" x14ac:dyDescent="0.35">
      <c r="B2" s="102" t="s">
        <v>44</v>
      </c>
      <c r="C2" s="102" t="s">
        <v>45</v>
      </c>
      <c r="D2" s="102" t="s">
        <v>46</v>
      </c>
      <c r="E2" s="102" t="s">
        <v>411</v>
      </c>
      <c r="F2" s="102" t="s">
        <v>42</v>
      </c>
      <c r="G2" s="103" t="s">
        <v>48</v>
      </c>
      <c r="H2" s="103" t="s">
        <v>49</v>
      </c>
      <c r="I2" s="104" t="s">
        <v>50</v>
      </c>
      <c r="J2" s="104" t="s">
        <v>51</v>
      </c>
      <c r="K2" s="105" t="s">
        <v>14</v>
      </c>
      <c r="L2" s="106" t="s">
        <v>52</v>
      </c>
    </row>
    <row r="3" spans="2:12" ht="16.2" thickBot="1" x14ac:dyDescent="0.35">
      <c r="B3" s="45" t="s">
        <v>412</v>
      </c>
      <c r="C3" s="8"/>
      <c r="D3" s="8"/>
      <c r="E3" s="8"/>
      <c r="F3" s="8"/>
      <c r="G3" s="34" t="s">
        <v>54</v>
      </c>
      <c r="H3" s="7">
        <f>COUNTA(D4:D480)</f>
        <v>11</v>
      </c>
      <c r="I3" s="24"/>
      <c r="J3" s="25" t="s">
        <v>55</v>
      </c>
      <c r="K3" s="26">
        <f>SUM(K4:K480)</f>
        <v>0</v>
      </c>
      <c r="L3" s="46"/>
    </row>
    <row r="4" spans="2:12" ht="30" customHeight="1" x14ac:dyDescent="0.3">
      <c r="B4" s="48" t="s">
        <v>413</v>
      </c>
      <c r="C4" s="2">
        <v>1</v>
      </c>
      <c r="D4" s="159" t="s">
        <v>10</v>
      </c>
      <c r="E4" s="258" t="s">
        <v>1275</v>
      </c>
      <c r="F4" s="176" t="s">
        <v>43</v>
      </c>
      <c r="G4" s="177" t="s">
        <v>58</v>
      </c>
      <c r="H4" s="178">
        <f>COUNTIF(F4:F480,"Select from Drop Down")</f>
        <v>11</v>
      </c>
      <c r="I4" s="179">
        <f>VLOOKUP($D4,SpecData,2,FALSE)</f>
        <v>2</v>
      </c>
      <c r="J4" s="180">
        <f>VLOOKUP($F4,AvailabilityData,2,FALSE)</f>
        <v>0</v>
      </c>
      <c r="K4" s="181">
        <f>I4*J4</f>
        <v>0</v>
      </c>
      <c r="L4" s="47"/>
    </row>
    <row r="5" spans="2:12" ht="41.4" x14ac:dyDescent="0.3">
      <c r="B5" s="48" t="str">
        <f>IF(C5="","",$B$4)</f>
        <v>IENS</v>
      </c>
      <c r="C5" s="2">
        <f>IF(ISTEXT(D5),MAX($C$4:$C4)+1,"")</f>
        <v>2</v>
      </c>
      <c r="D5" s="159" t="s">
        <v>10</v>
      </c>
      <c r="E5" s="279" t="s">
        <v>414</v>
      </c>
      <c r="F5" s="176" t="s">
        <v>43</v>
      </c>
      <c r="G5" s="177" t="s">
        <v>60</v>
      </c>
      <c r="H5" s="178">
        <f>COUNTIF(F4:F480,"Function Available")</f>
        <v>0</v>
      </c>
      <c r="I5" s="179">
        <f>VLOOKUP($D5,SpecData,2,FALSE)</f>
        <v>2</v>
      </c>
      <c r="J5" s="180">
        <f>VLOOKUP($F5,AvailabilityData,2,FALSE)</f>
        <v>0</v>
      </c>
      <c r="K5" s="181">
        <f t="shared" ref="K5:K16" si="0">I5*J5</f>
        <v>0</v>
      </c>
      <c r="L5" s="47"/>
    </row>
    <row r="6" spans="2:12" ht="30" customHeight="1" x14ac:dyDescent="0.3">
      <c r="B6" s="248" t="str">
        <f t="shared" ref="B6" si="1">IF(C6="","",$B$4)</f>
        <v/>
      </c>
      <c r="C6" s="1" t="str">
        <f>IF(ISTEXT(D6),MAX($C5:$C$6)+1,"")</f>
        <v/>
      </c>
      <c r="D6" s="3"/>
      <c r="E6" s="280" t="s">
        <v>415</v>
      </c>
      <c r="F6" s="115"/>
      <c r="G6" s="31"/>
      <c r="H6" s="31"/>
      <c r="I6" s="31"/>
      <c r="J6" s="31"/>
      <c r="K6" s="31"/>
      <c r="L6" s="246"/>
    </row>
    <row r="7" spans="2:12" ht="30" customHeight="1" x14ac:dyDescent="0.3">
      <c r="B7" s="48" t="str">
        <f>IF(C7="","",$B$4)</f>
        <v>IENS</v>
      </c>
      <c r="C7" s="2">
        <f>IF(ISTEXT(D7),MAX($C$4:$C5)+1,"")</f>
        <v>3</v>
      </c>
      <c r="D7" s="159" t="s">
        <v>10</v>
      </c>
      <c r="E7" s="281" t="s">
        <v>416</v>
      </c>
      <c r="F7" s="176" t="s">
        <v>43</v>
      </c>
      <c r="G7" s="177" t="s">
        <v>62</v>
      </c>
      <c r="H7" s="184">
        <f>COUNTIF(F4:F480,"Function Not Available")</f>
        <v>0</v>
      </c>
      <c r="I7" s="179">
        <f t="shared" ref="I7:I16" si="2">VLOOKUP($D7,SpecData,2,FALSE)</f>
        <v>2</v>
      </c>
      <c r="J7" s="180">
        <f t="shared" ref="J7:J16" si="3">VLOOKUP($F7,AvailabilityData,2,FALSE)</f>
        <v>0</v>
      </c>
      <c r="K7" s="181">
        <f t="shared" si="0"/>
        <v>0</v>
      </c>
      <c r="L7" s="47"/>
    </row>
    <row r="8" spans="2:12" ht="30" customHeight="1" x14ac:dyDescent="0.3">
      <c r="B8" s="48" t="str">
        <f t="shared" ref="B8:B16" si="4">IF(C8="","",$B$4)</f>
        <v>IENS</v>
      </c>
      <c r="C8" s="2">
        <f>IF(ISTEXT(D8),MAX($C$4:$C7)+1,"")</f>
        <v>4</v>
      </c>
      <c r="D8" s="159" t="s">
        <v>10</v>
      </c>
      <c r="E8" s="282" t="s">
        <v>417</v>
      </c>
      <c r="F8" s="176" t="s">
        <v>43</v>
      </c>
      <c r="G8" s="177" t="s">
        <v>64</v>
      </c>
      <c r="H8" s="184">
        <f>COUNTIF(F4:F480,"Exception")</f>
        <v>0</v>
      </c>
      <c r="I8" s="179">
        <f t="shared" si="2"/>
        <v>2</v>
      </c>
      <c r="J8" s="180">
        <f t="shared" si="3"/>
        <v>0</v>
      </c>
      <c r="K8" s="181">
        <f t="shared" si="0"/>
        <v>0</v>
      </c>
      <c r="L8" s="47"/>
    </row>
    <row r="9" spans="2:12" ht="30" customHeight="1" x14ac:dyDescent="0.3">
      <c r="B9" s="48" t="str">
        <f t="shared" si="4"/>
        <v>IENS</v>
      </c>
      <c r="C9" s="2">
        <f>IF(ISTEXT(D9),MAX($C$4:$C8)+1,"")</f>
        <v>5</v>
      </c>
      <c r="D9" s="159" t="s">
        <v>10</v>
      </c>
      <c r="E9" s="282" t="s">
        <v>418</v>
      </c>
      <c r="F9" s="176" t="s">
        <v>43</v>
      </c>
      <c r="G9" s="177" t="s">
        <v>66</v>
      </c>
      <c r="H9" s="185">
        <f>COUNTIFS(D:D,"=Crucial",F:F,"=Select From Drop Down")</f>
        <v>0</v>
      </c>
      <c r="I9" s="179">
        <f t="shared" si="2"/>
        <v>2</v>
      </c>
      <c r="J9" s="180">
        <f t="shared" si="3"/>
        <v>0</v>
      </c>
      <c r="K9" s="181">
        <f t="shared" si="0"/>
        <v>0</v>
      </c>
      <c r="L9" s="47"/>
    </row>
    <row r="10" spans="2:12" ht="30" customHeight="1" x14ac:dyDescent="0.3">
      <c r="B10" s="48" t="str">
        <f t="shared" si="4"/>
        <v>IENS</v>
      </c>
      <c r="C10" s="2">
        <f>IF(ISTEXT(D10),MAX($C$4:$C9)+1,"")</f>
        <v>6</v>
      </c>
      <c r="D10" s="159" t="s">
        <v>10</v>
      </c>
      <c r="E10" s="282" t="s">
        <v>419</v>
      </c>
      <c r="F10" s="176" t="s">
        <v>43</v>
      </c>
      <c r="G10" s="177" t="s">
        <v>68</v>
      </c>
      <c r="H10" s="185">
        <f>COUNTIFS(D:D,"=Crucial",F:F,"=Function Available")</f>
        <v>0</v>
      </c>
      <c r="I10" s="179">
        <f t="shared" si="2"/>
        <v>2</v>
      </c>
      <c r="J10" s="180">
        <f t="shared" si="3"/>
        <v>0</v>
      </c>
      <c r="K10" s="181">
        <f t="shared" si="0"/>
        <v>0</v>
      </c>
      <c r="L10" s="47"/>
    </row>
    <row r="11" spans="2:12" ht="41.4" x14ac:dyDescent="0.3">
      <c r="B11" s="48" t="str">
        <f t="shared" si="4"/>
        <v>IENS</v>
      </c>
      <c r="C11" s="2">
        <f>IF(ISTEXT(D11),MAX($C$4:$C10)+1,"")</f>
        <v>7</v>
      </c>
      <c r="D11" s="159" t="s">
        <v>10</v>
      </c>
      <c r="E11" s="258" t="s">
        <v>420</v>
      </c>
      <c r="F11" s="176" t="s">
        <v>43</v>
      </c>
      <c r="G11" s="177" t="s">
        <v>70</v>
      </c>
      <c r="H11" s="185">
        <f>COUNTIFS(D:D,"=Crucial",F:F,"=Function Not Available")</f>
        <v>0</v>
      </c>
      <c r="I11" s="179">
        <f t="shared" si="2"/>
        <v>2</v>
      </c>
      <c r="J11" s="180">
        <f t="shared" si="3"/>
        <v>0</v>
      </c>
      <c r="K11" s="181">
        <f t="shared" si="0"/>
        <v>0</v>
      </c>
      <c r="L11" s="47"/>
    </row>
    <row r="12" spans="2:12" ht="30" customHeight="1" x14ac:dyDescent="0.3">
      <c r="B12" s="248" t="str">
        <f t="shared" si="4"/>
        <v/>
      </c>
      <c r="C12" s="1" t="str">
        <f>IF(ISTEXT(D12),MAX($C$6:$C11)+1,"")</f>
        <v/>
      </c>
      <c r="D12" s="3"/>
      <c r="E12" s="280" t="s">
        <v>421</v>
      </c>
      <c r="F12" s="115"/>
      <c r="G12" s="31"/>
      <c r="H12" s="31"/>
      <c r="I12" s="31"/>
      <c r="J12" s="31"/>
      <c r="K12" s="31"/>
      <c r="L12" s="246"/>
    </row>
    <row r="13" spans="2:12" ht="30" customHeight="1" x14ac:dyDescent="0.3">
      <c r="B13" s="48" t="str">
        <f t="shared" si="4"/>
        <v>IENS</v>
      </c>
      <c r="C13" s="2">
        <f>IF(ISTEXT(D13),MAX($C$4:$C11)+1,"")</f>
        <v>8</v>
      </c>
      <c r="D13" s="159" t="s">
        <v>10</v>
      </c>
      <c r="E13" s="81" t="s">
        <v>422</v>
      </c>
      <c r="F13" s="176" t="s">
        <v>43</v>
      </c>
      <c r="G13" s="177" t="s">
        <v>72</v>
      </c>
      <c r="H13" s="185">
        <f>COUNTIFS(D:D,"=Crucial",F:F,"=Exception")</f>
        <v>0</v>
      </c>
      <c r="I13" s="179">
        <f t="shared" si="2"/>
        <v>2</v>
      </c>
      <c r="J13" s="180">
        <f t="shared" si="3"/>
        <v>0</v>
      </c>
      <c r="K13" s="181">
        <f t="shared" si="0"/>
        <v>0</v>
      </c>
      <c r="L13" s="47"/>
    </row>
    <row r="14" spans="2:12" ht="30" customHeight="1" x14ac:dyDescent="0.3">
      <c r="B14" s="48" t="str">
        <f t="shared" si="4"/>
        <v>IENS</v>
      </c>
      <c r="C14" s="2">
        <f>IF(ISTEXT(D14),MAX($C$4:$C13)+1,"")</f>
        <v>9</v>
      </c>
      <c r="D14" s="159" t="s">
        <v>10</v>
      </c>
      <c r="E14" s="81" t="s">
        <v>423</v>
      </c>
      <c r="F14" s="176" t="s">
        <v>43</v>
      </c>
      <c r="G14" s="186" t="s">
        <v>74</v>
      </c>
      <c r="H14" s="187">
        <f>COUNTIFS(D:D,"=Important",F:F,"=Select From Drop Down")</f>
        <v>11</v>
      </c>
      <c r="I14" s="179">
        <f t="shared" si="2"/>
        <v>2</v>
      </c>
      <c r="J14" s="180">
        <f t="shared" si="3"/>
        <v>0</v>
      </c>
      <c r="K14" s="181">
        <f t="shared" si="0"/>
        <v>0</v>
      </c>
      <c r="L14" s="47"/>
    </row>
    <row r="15" spans="2:12" ht="30" customHeight="1" x14ac:dyDescent="0.3">
      <c r="B15" s="48" t="str">
        <f t="shared" si="4"/>
        <v>IENS</v>
      </c>
      <c r="C15" s="2">
        <f>IF(ISTEXT(D15),MAX($C$4:$C14)+1,"")</f>
        <v>10</v>
      </c>
      <c r="D15" s="159" t="s">
        <v>10</v>
      </c>
      <c r="E15" s="81" t="s">
        <v>424</v>
      </c>
      <c r="F15" s="176" t="s">
        <v>43</v>
      </c>
      <c r="G15" s="186" t="s">
        <v>76</v>
      </c>
      <c r="H15" s="187">
        <f>COUNTIFS(D:D,"=Important",F:F,"=Function Available")</f>
        <v>0</v>
      </c>
      <c r="I15" s="179">
        <f t="shared" si="2"/>
        <v>2</v>
      </c>
      <c r="J15" s="180">
        <f t="shared" si="3"/>
        <v>0</v>
      </c>
      <c r="K15" s="181">
        <f t="shared" si="0"/>
        <v>0</v>
      </c>
      <c r="L15" s="47"/>
    </row>
    <row r="16" spans="2:12" ht="42" thickBot="1" x14ac:dyDescent="0.35">
      <c r="B16" s="52" t="str">
        <f t="shared" si="4"/>
        <v>IENS</v>
      </c>
      <c r="C16" s="53">
        <f>IF(ISTEXT(D16),MAX($C$4:$C15)+1,"")</f>
        <v>11</v>
      </c>
      <c r="D16" s="168" t="s">
        <v>10</v>
      </c>
      <c r="E16" s="169" t="s">
        <v>425</v>
      </c>
      <c r="F16" s="243" t="s">
        <v>43</v>
      </c>
      <c r="G16" s="201" t="s">
        <v>78</v>
      </c>
      <c r="H16" s="202">
        <f>COUNTIFS(D:D,"=Important",F:F,"=Function Not Available")</f>
        <v>0</v>
      </c>
      <c r="I16" s="253">
        <f t="shared" si="2"/>
        <v>2</v>
      </c>
      <c r="J16" s="254">
        <f t="shared" si="3"/>
        <v>0</v>
      </c>
      <c r="K16" s="199">
        <f t="shared" si="0"/>
        <v>0</v>
      </c>
      <c r="L16" s="54"/>
    </row>
    <row r="17" spans="2:12" ht="30" hidden="1" customHeight="1" x14ac:dyDescent="0.3">
      <c r="B17" s="61"/>
      <c r="C17" s="61"/>
      <c r="D17" s="171"/>
      <c r="E17" s="77"/>
      <c r="F17" s="121"/>
      <c r="G17" s="34" t="s">
        <v>80</v>
      </c>
      <c r="H17" s="122">
        <f>COUNTIFS(D:D,"=Important",F:F,"=Exception")</f>
        <v>0</v>
      </c>
      <c r="I17" s="123"/>
      <c r="J17" s="124"/>
      <c r="K17" s="123"/>
      <c r="L17" s="173"/>
    </row>
    <row r="18" spans="2:12" ht="30" hidden="1" customHeight="1" x14ac:dyDescent="0.3">
      <c r="B18" s="73"/>
      <c r="C18" s="73"/>
      <c r="D18" s="240"/>
      <c r="E18" s="62"/>
      <c r="F18" s="125"/>
      <c r="G18" s="29" t="s">
        <v>82</v>
      </c>
      <c r="H18" s="126">
        <f>COUNTIFS(D:D,"=Minimal",F:F,"=Select From Drop Down")</f>
        <v>0</v>
      </c>
      <c r="I18" s="127"/>
      <c r="J18" s="128"/>
      <c r="K18" s="127"/>
      <c r="L18" s="161"/>
    </row>
    <row r="19" spans="2:12" ht="30" hidden="1" customHeight="1" x14ac:dyDescent="0.3">
      <c r="B19" s="73"/>
      <c r="C19" s="73"/>
      <c r="D19" s="240"/>
      <c r="E19" s="62"/>
      <c r="F19" s="125"/>
      <c r="G19" s="29" t="s">
        <v>84</v>
      </c>
      <c r="H19" s="126">
        <f>COUNTIFS(D:D,"=Minimal",F:F,"=Function Available")</f>
        <v>0</v>
      </c>
      <c r="I19" s="127"/>
      <c r="J19" s="128"/>
      <c r="K19" s="127"/>
      <c r="L19" s="161"/>
    </row>
    <row r="20" spans="2:12" ht="30" hidden="1" customHeight="1" x14ac:dyDescent="0.3">
      <c r="B20" s="73"/>
      <c r="C20" s="73"/>
      <c r="D20" s="240"/>
      <c r="E20" s="62"/>
      <c r="F20" s="125"/>
      <c r="G20" s="29" t="s">
        <v>86</v>
      </c>
      <c r="H20" s="126">
        <f>COUNTIFS(D:D,"=Minimal",F:F,"=Function Not Available")</f>
        <v>0</v>
      </c>
      <c r="I20" s="127"/>
      <c r="J20" s="128"/>
      <c r="K20" s="127"/>
      <c r="L20" s="161"/>
    </row>
    <row r="21" spans="2:12" ht="30" hidden="1" customHeight="1" x14ac:dyDescent="0.3">
      <c r="B21" s="73"/>
      <c r="C21" s="73"/>
      <c r="D21" s="240"/>
      <c r="E21" s="62"/>
      <c r="F21" s="125"/>
      <c r="G21" s="29" t="s">
        <v>88</v>
      </c>
      <c r="H21" s="126">
        <f>COUNTIFS(D:D,"=Minimal",F:F,"=Exception")</f>
        <v>0</v>
      </c>
      <c r="I21" s="127"/>
      <c r="J21" s="128"/>
      <c r="K21" s="127"/>
      <c r="L21" s="161"/>
    </row>
    <row r="22" spans="2:12" ht="6" customHeight="1" x14ac:dyDescent="0.3"/>
  </sheetData>
  <sheetProtection algorithmName="SHA-512" hashValue="+ZskYyH15qGlTzv9GpNzLsW8IcNXI8E8EeYSF2yvhYT6dqNx2XdPi/xaBgjAyH0J6hnXmD2MgEOHiQT9RVQY3w==" saltValue="anVasOmNmTtRqBAUSVI3JA==" spinCount="100000" sheet="1" selectLockedCells="1"/>
  <conditionalFormatting sqref="D4:D5 D7:D11 D13:D21">
    <cfRule type="cellIs" dxfId="203" priority="1" operator="equal">
      <formula>"Important"</formula>
    </cfRule>
    <cfRule type="cellIs" dxfId="202" priority="2" operator="equal">
      <formula>"Crucial"</formula>
    </cfRule>
    <cfRule type="cellIs" dxfId="201" priority="3" operator="equal">
      <formula>"N/A"</formula>
    </cfRule>
  </conditionalFormatting>
  <conditionalFormatting sqref="F4:F21">
    <cfRule type="cellIs" dxfId="200" priority="7" operator="equal">
      <formula>"Function Not Available"</formula>
    </cfRule>
    <cfRule type="cellIs" dxfId="199" priority="8" operator="equal">
      <formula>"Function Available"</formula>
    </cfRule>
    <cfRule type="cellIs" dxfId="198" priority="9" operator="equal">
      <formula>"Exception"</formula>
    </cfRule>
  </conditionalFormatting>
  <dataValidations count="3">
    <dataValidation type="list" allowBlank="1" showInputMessage="1" showErrorMessage="1" sqref="F4:F5" xr:uid="{00000000-0002-0000-0F00-000000000000}">
      <formula1>AvailabilityType</formula1>
    </dataValidation>
    <dataValidation type="list" allowBlank="1" showInputMessage="1" showErrorMessage="1" sqref="D7:D11 D4:D5 D13:D16" xr:uid="{10E7D3B8-B65C-412A-889E-C3A5FFC10362}">
      <formula1>SpecType</formula1>
    </dataValidation>
    <dataValidation type="list" allowBlank="1" showInputMessage="1" showErrorMessage="1" errorTitle="Invalid specification type" error="Please enter a Specification type from the drop-down list." sqref="F7:F11 F13:F16" xr:uid="{00000000-0002-0000-0F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A1:M214"/>
  <sheetViews>
    <sheetView showGridLines="0" zoomScale="90" zoomScaleNormal="9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8.6999999999999993" customHeight="1" x14ac:dyDescent="0.3"/>
    <row r="2" spans="2:12" ht="129" customHeight="1" thickBot="1" x14ac:dyDescent="0.35">
      <c r="B2" s="96" t="s">
        <v>44</v>
      </c>
      <c r="C2" s="97" t="s">
        <v>45</v>
      </c>
      <c r="D2" s="97" t="s">
        <v>46</v>
      </c>
      <c r="E2" s="97" t="s">
        <v>426</v>
      </c>
      <c r="F2" s="97" t="s">
        <v>42</v>
      </c>
      <c r="G2" s="98" t="s">
        <v>48</v>
      </c>
      <c r="H2" s="98" t="s">
        <v>49</v>
      </c>
      <c r="I2" s="99" t="s">
        <v>50</v>
      </c>
      <c r="J2" s="99" t="s">
        <v>51</v>
      </c>
      <c r="K2" s="100" t="s">
        <v>14</v>
      </c>
      <c r="L2" s="101" t="s">
        <v>52</v>
      </c>
    </row>
    <row r="3" spans="2:12" ht="16.2" thickBot="1" x14ac:dyDescent="0.35">
      <c r="B3" s="8" t="s">
        <v>427</v>
      </c>
      <c r="C3" s="8"/>
      <c r="D3" s="8"/>
      <c r="E3" s="8"/>
      <c r="F3" s="8"/>
      <c r="G3" s="34" t="s">
        <v>54</v>
      </c>
      <c r="H3" s="7">
        <f>COUNTA(D4:D665)</f>
        <v>200</v>
      </c>
      <c r="I3" s="24"/>
      <c r="J3" s="25" t="s">
        <v>55</v>
      </c>
      <c r="K3" s="26">
        <f>SUM(K4:K665)</f>
        <v>0</v>
      </c>
      <c r="L3" s="8"/>
    </row>
    <row r="4" spans="2:12" ht="30" customHeight="1" x14ac:dyDescent="0.3">
      <c r="B4" s="37" t="s">
        <v>428</v>
      </c>
      <c r="C4" s="2">
        <v>1</v>
      </c>
      <c r="D4" s="159" t="s">
        <v>9</v>
      </c>
      <c r="E4" s="167" t="s">
        <v>1240</v>
      </c>
      <c r="F4" s="176" t="s">
        <v>43</v>
      </c>
      <c r="G4" s="177" t="s">
        <v>58</v>
      </c>
      <c r="H4" s="178">
        <f>COUNTIF(F4:F665,"Select from Drop Down")</f>
        <v>200</v>
      </c>
      <c r="I4" s="179">
        <f>VLOOKUP($D4,SpecData,2,FALSE)</f>
        <v>3</v>
      </c>
      <c r="J4" s="180">
        <f>VLOOKUP($F4,AvailabilityData,2,FALSE)</f>
        <v>0</v>
      </c>
      <c r="K4" s="181">
        <f>I4*J4</f>
        <v>0</v>
      </c>
      <c r="L4" s="38"/>
    </row>
    <row r="5" spans="2:12" ht="30" customHeight="1" x14ac:dyDescent="0.3">
      <c r="B5" s="37" t="str">
        <f>IF(C5="","",$B$4)</f>
        <v>ePCR</v>
      </c>
      <c r="C5" s="2">
        <f>IF(ISTEXT(D5),MAX($C$4:$C4)+1,"")</f>
        <v>2</v>
      </c>
      <c r="D5" s="159" t="s">
        <v>9</v>
      </c>
      <c r="E5" s="167" t="s">
        <v>429</v>
      </c>
      <c r="F5" s="176" t="s">
        <v>43</v>
      </c>
      <c r="G5" s="177" t="s">
        <v>60</v>
      </c>
      <c r="H5" s="178">
        <f>COUNTIF(F4:F665,"Function Available")</f>
        <v>0</v>
      </c>
      <c r="I5" s="179">
        <f>VLOOKUP($D5,SpecData,2,FALSE)</f>
        <v>3</v>
      </c>
      <c r="J5" s="180">
        <f>VLOOKUP($F5,AvailabilityData,2,FALSE)</f>
        <v>0</v>
      </c>
      <c r="K5" s="181">
        <f t="shared" ref="K5:K68" si="0">I5*J5</f>
        <v>0</v>
      </c>
      <c r="L5" s="38"/>
    </row>
    <row r="6" spans="2:12" ht="30" customHeight="1" x14ac:dyDescent="0.3">
      <c r="B6" s="37" t="str">
        <f>IF(C6="","",$B$4)</f>
        <v>ePCR</v>
      </c>
      <c r="C6" s="2">
        <f>IF(ISTEXT(D6),MAX($C$4:$C5)+1,"")</f>
        <v>3</v>
      </c>
      <c r="D6" s="159" t="s">
        <v>9</v>
      </c>
      <c r="E6" s="167" t="s">
        <v>430</v>
      </c>
      <c r="F6" s="176" t="s">
        <v>43</v>
      </c>
      <c r="G6" s="177" t="s">
        <v>62</v>
      </c>
      <c r="H6" s="184">
        <f>COUNTIF(F4:F665,"Function Not Available")</f>
        <v>0</v>
      </c>
      <c r="I6" s="179">
        <f t="shared" ref="I6:I213" si="1">VLOOKUP($D6,SpecData,2,FALSE)</f>
        <v>3</v>
      </c>
      <c r="J6" s="180">
        <f t="shared" ref="J6:J213" si="2">VLOOKUP($F6,AvailabilityData,2,FALSE)</f>
        <v>0</v>
      </c>
      <c r="K6" s="181">
        <f t="shared" si="0"/>
        <v>0</v>
      </c>
      <c r="L6" s="38"/>
    </row>
    <row r="7" spans="2:12" ht="30" customHeight="1" x14ac:dyDescent="0.3">
      <c r="B7" s="37" t="str">
        <f t="shared" ref="B7:B44" si="3">IF(C7="","",$B$4)</f>
        <v>ePCR</v>
      </c>
      <c r="C7" s="2">
        <f>IF(ISTEXT(D7),MAX($C$4:$C6)+1,"")</f>
        <v>4</v>
      </c>
      <c r="D7" s="159" t="s">
        <v>9</v>
      </c>
      <c r="E7" s="167" t="s">
        <v>431</v>
      </c>
      <c r="F7" s="176" t="s">
        <v>43</v>
      </c>
      <c r="G7" s="177" t="s">
        <v>64</v>
      </c>
      <c r="H7" s="184">
        <f>COUNTIF(F4:F665,"Exception")</f>
        <v>0</v>
      </c>
      <c r="I7" s="179">
        <f t="shared" si="1"/>
        <v>3</v>
      </c>
      <c r="J7" s="180">
        <f t="shared" si="2"/>
        <v>0</v>
      </c>
      <c r="K7" s="181">
        <f t="shared" si="0"/>
        <v>0</v>
      </c>
      <c r="L7" s="38"/>
    </row>
    <row r="8" spans="2:12" ht="30" customHeight="1" x14ac:dyDescent="0.3">
      <c r="B8" s="37" t="str">
        <f t="shared" si="3"/>
        <v>ePCR</v>
      </c>
      <c r="C8" s="2">
        <f>IF(ISTEXT(D8),MAX($C$4:$C7)+1,"")</f>
        <v>5</v>
      </c>
      <c r="D8" s="159" t="s">
        <v>9</v>
      </c>
      <c r="E8" s="60" t="s">
        <v>432</v>
      </c>
      <c r="F8" s="176" t="s">
        <v>43</v>
      </c>
      <c r="G8" s="177" t="s">
        <v>66</v>
      </c>
      <c r="H8" s="185">
        <f>COUNTIFS(D:D,"=Crucial",F:F,"=Select From Drop Down")</f>
        <v>21</v>
      </c>
      <c r="I8" s="179">
        <f t="shared" si="1"/>
        <v>3</v>
      </c>
      <c r="J8" s="180">
        <f t="shared" si="2"/>
        <v>0</v>
      </c>
      <c r="K8" s="181">
        <f t="shared" si="0"/>
        <v>0</v>
      </c>
      <c r="L8" s="38"/>
    </row>
    <row r="9" spans="2:12" ht="30" customHeight="1" x14ac:dyDescent="0.3">
      <c r="B9" s="37" t="str">
        <f t="shared" si="3"/>
        <v>ePCR</v>
      </c>
      <c r="C9" s="2">
        <f>IF(ISTEXT(D9),MAX($C$4:$C8)+1,"")</f>
        <v>6</v>
      </c>
      <c r="D9" s="159" t="s">
        <v>10</v>
      </c>
      <c r="E9" s="60" t="s">
        <v>433</v>
      </c>
      <c r="F9" s="176" t="s">
        <v>43</v>
      </c>
      <c r="G9" s="177" t="s">
        <v>68</v>
      </c>
      <c r="H9" s="185">
        <f>COUNTIFS(D:D,"=Crucial",F:F,"=Function Available")</f>
        <v>0</v>
      </c>
      <c r="I9" s="179">
        <f t="shared" si="1"/>
        <v>2</v>
      </c>
      <c r="J9" s="180">
        <f t="shared" si="2"/>
        <v>0</v>
      </c>
      <c r="K9" s="181">
        <f t="shared" si="0"/>
        <v>0</v>
      </c>
      <c r="L9" s="38"/>
    </row>
    <row r="10" spans="2:12" ht="41.4" x14ac:dyDescent="0.3">
      <c r="B10" s="37" t="str">
        <f t="shared" si="3"/>
        <v>ePCR</v>
      </c>
      <c r="C10" s="2">
        <f>IF(ISTEXT(D10),MAX($C$4:$C9)+1,"")</f>
        <v>7</v>
      </c>
      <c r="D10" s="159" t="s">
        <v>10</v>
      </c>
      <c r="E10" s="60" t="s">
        <v>434</v>
      </c>
      <c r="F10" s="176" t="s">
        <v>43</v>
      </c>
      <c r="G10" s="177" t="s">
        <v>70</v>
      </c>
      <c r="H10" s="185">
        <f>COUNTIFS(D:D,"=Crucial",F:F,"=Function Not Available")</f>
        <v>0</v>
      </c>
      <c r="I10" s="179">
        <f t="shared" si="1"/>
        <v>2</v>
      </c>
      <c r="J10" s="180">
        <f t="shared" si="2"/>
        <v>0</v>
      </c>
      <c r="K10" s="181">
        <f t="shared" si="0"/>
        <v>0</v>
      </c>
      <c r="L10" s="38"/>
    </row>
    <row r="11" spans="2:12" ht="30" customHeight="1" x14ac:dyDescent="0.3">
      <c r="B11" s="37" t="str">
        <f t="shared" si="3"/>
        <v>ePCR</v>
      </c>
      <c r="C11" s="2">
        <f>IF(ISTEXT(D11),MAX($C$4:$C10)+1,"")</f>
        <v>8</v>
      </c>
      <c r="D11" s="159" t="s">
        <v>10</v>
      </c>
      <c r="E11" s="60" t="s">
        <v>435</v>
      </c>
      <c r="F11" s="176" t="s">
        <v>43</v>
      </c>
      <c r="G11" s="177" t="s">
        <v>72</v>
      </c>
      <c r="H11" s="185">
        <f>COUNTIFS(D:D,"=Crucial",F:F,"=Exception")</f>
        <v>0</v>
      </c>
      <c r="I11" s="179">
        <f t="shared" si="1"/>
        <v>2</v>
      </c>
      <c r="J11" s="180">
        <f t="shared" si="2"/>
        <v>0</v>
      </c>
      <c r="K11" s="181">
        <f t="shared" si="0"/>
        <v>0</v>
      </c>
      <c r="L11" s="38"/>
    </row>
    <row r="12" spans="2:12" ht="30" customHeight="1" x14ac:dyDescent="0.3">
      <c r="B12" s="37" t="str">
        <f t="shared" si="3"/>
        <v>ePCR</v>
      </c>
      <c r="C12" s="2">
        <f>IF(ISTEXT(D12),MAX($C$4:$C11)+1,"")</f>
        <v>9</v>
      </c>
      <c r="D12" s="159" t="s">
        <v>9</v>
      </c>
      <c r="E12" s="55" t="s">
        <v>436</v>
      </c>
      <c r="F12" s="176" t="s">
        <v>43</v>
      </c>
      <c r="G12" s="186" t="s">
        <v>74</v>
      </c>
      <c r="H12" s="187">
        <f>COUNTIFS(D:D,"=Important",F:F,"=Select From Drop Down")</f>
        <v>22</v>
      </c>
      <c r="I12" s="179">
        <f t="shared" si="1"/>
        <v>3</v>
      </c>
      <c r="J12" s="180">
        <f t="shared" si="2"/>
        <v>0</v>
      </c>
      <c r="K12" s="181">
        <f t="shared" si="0"/>
        <v>0</v>
      </c>
      <c r="L12" s="38"/>
    </row>
    <row r="13" spans="2:12" ht="30" customHeight="1" x14ac:dyDescent="0.3">
      <c r="B13" s="37" t="str">
        <f t="shared" si="3"/>
        <v>ePCR</v>
      </c>
      <c r="C13" s="2">
        <f>IF(ISTEXT(D13),MAX($C$4:$C12)+1,"")</f>
        <v>10</v>
      </c>
      <c r="D13" s="159" t="s">
        <v>10</v>
      </c>
      <c r="E13" s="55" t="s">
        <v>437</v>
      </c>
      <c r="F13" s="176" t="s">
        <v>43</v>
      </c>
      <c r="G13" s="186" t="s">
        <v>76</v>
      </c>
      <c r="H13" s="187">
        <f>COUNTIFS(D:D,"=Important",F:F,"=Function Available")</f>
        <v>0</v>
      </c>
      <c r="I13" s="179">
        <f t="shared" si="1"/>
        <v>2</v>
      </c>
      <c r="J13" s="180">
        <f t="shared" si="2"/>
        <v>0</v>
      </c>
      <c r="K13" s="181">
        <f t="shared" si="0"/>
        <v>0</v>
      </c>
      <c r="L13" s="38"/>
    </row>
    <row r="14" spans="2:12" ht="30" customHeight="1" x14ac:dyDescent="0.3">
      <c r="B14" s="37" t="str">
        <f t="shared" si="3"/>
        <v>ePCR</v>
      </c>
      <c r="C14" s="2">
        <f>IF(ISTEXT(D14),MAX($C$4:$C13)+1,"")</f>
        <v>11</v>
      </c>
      <c r="D14" s="159" t="s">
        <v>9</v>
      </c>
      <c r="E14" s="55" t="s">
        <v>438</v>
      </c>
      <c r="F14" s="176" t="s">
        <v>43</v>
      </c>
      <c r="G14" s="177" t="s">
        <v>78</v>
      </c>
      <c r="H14" s="185">
        <f>COUNTIFS(D:D,"=Important",F:F,"=Function Not Available")</f>
        <v>0</v>
      </c>
      <c r="I14" s="188">
        <f t="shared" si="1"/>
        <v>3</v>
      </c>
      <c r="J14" s="189">
        <f t="shared" si="2"/>
        <v>0</v>
      </c>
      <c r="K14" s="181">
        <f t="shared" si="0"/>
        <v>0</v>
      </c>
      <c r="L14" s="38"/>
    </row>
    <row r="15" spans="2:12" ht="30" customHeight="1" x14ac:dyDescent="0.3">
      <c r="B15" s="37" t="str">
        <f t="shared" si="3"/>
        <v>ePCR</v>
      </c>
      <c r="C15" s="2">
        <f>IF(ISTEXT(D15),MAX($C$4:$C14)+1,"")</f>
        <v>12</v>
      </c>
      <c r="D15" s="159" t="s">
        <v>9</v>
      </c>
      <c r="E15" s="55" t="s">
        <v>439</v>
      </c>
      <c r="F15" s="176" t="s">
        <v>43</v>
      </c>
      <c r="G15" s="177" t="s">
        <v>80</v>
      </c>
      <c r="H15" s="185">
        <f>COUNTIFS(D:D,"=Important",F:F,"=Exception")</f>
        <v>0</v>
      </c>
      <c r="I15" s="188">
        <f t="shared" si="1"/>
        <v>3</v>
      </c>
      <c r="J15" s="189">
        <f t="shared" si="2"/>
        <v>0</v>
      </c>
      <c r="K15" s="181">
        <f t="shared" si="0"/>
        <v>0</v>
      </c>
      <c r="L15" s="38"/>
    </row>
    <row r="16" spans="2:12" ht="30" customHeight="1" x14ac:dyDescent="0.3">
      <c r="B16" s="37" t="str">
        <f t="shared" si="3"/>
        <v>ePCR</v>
      </c>
      <c r="C16" s="2">
        <f>IF(ISTEXT(D16),MAX($C$4:$C15)+1,"")</f>
        <v>13</v>
      </c>
      <c r="D16" s="159" t="s">
        <v>9</v>
      </c>
      <c r="E16" s="63" t="s">
        <v>440</v>
      </c>
      <c r="F16" s="176" t="s">
        <v>43</v>
      </c>
      <c r="G16" s="177" t="s">
        <v>82</v>
      </c>
      <c r="H16" s="185">
        <f>COUNTIFS(D:D,"=Minimal",F:F,"=Select From Drop Down")</f>
        <v>0</v>
      </c>
      <c r="I16" s="188">
        <f t="shared" si="1"/>
        <v>3</v>
      </c>
      <c r="J16" s="189">
        <f t="shared" si="2"/>
        <v>0</v>
      </c>
      <c r="K16" s="181">
        <f t="shared" si="0"/>
        <v>0</v>
      </c>
      <c r="L16" s="38"/>
    </row>
    <row r="17" spans="2:12" ht="30" customHeight="1" x14ac:dyDescent="0.3">
      <c r="B17" s="37" t="str">
        <f t="shared" si="3"/>
        <v>ePCR</v>
      </c>
      <c r="C17" s="2">
        <f>IF(ISTEXT(D17),MAX($C$4:$C16)+1,"")</f>
        <v>14</v>
      </c>
      <c r="D17" s="159" t="s">
        <v>10</v>
      </c>
      <c r="E17" s="55" t="s">
        <v>441</v>
      </c>
      <c r="F17" s="176" t="s">
        <v>43</v>
      </c>
      <c r="G17" s="177" t="s">
        <v>84</v>
      </c>
      <c r="H17" s="185">
        <f>COUNTIFS(D:D,"=Minimal",F:F,"=Function Available")</f>
        <v>0</v>
      </c>
      <c r="I17" s="188">
        <f t="shared" si="1"/>
        <v>2</v>
      </c>
      <c r="J17" s="189">
        <f t="shared" si="2"/>
        <v>0</v>
      </c>
      <c r="K17" s="181">
        <f t="shared" si="0"/>
        <v>0</v>
      </c>
      <c r="L17" s="38"/>
    </row>
    <row r="18" spans="2:12" ht="30" customHeight="1" x14ac:dyDescent="0.3">
      <c r="B18" s="37" t="str">
        <f t="shared" si="3"/>
        <v>ePCR</v>
      </c>
      <c r="C18" s="2">
        <f>IF(ISTEXT(D18),MAX($C$4:$C17)+1,"")</f>
        <v>15</v>
      </c>
      <c r="D18" s="159" t="s">
        <v>10</v>
      </c>
      <c r="E18" s="55" t="s">
        <v>442</v>
      </c>
      <c r="F18" s="176" t="s">
        <v>43</v>
      </c>
      <c r="G18" s="177" t="s">
        <v>86</v>
      </c>
      <c r="H18" s="185">
        <f>COUNTIFS(D:D,"=Minimal",F:F,"=Function Not Available")</f>
        <v>0</v>
      </c>
      <c r="I18" s="188">
        <f t="shared" si="1"/>
        <v>2</v>
      </c>
      <c r="J18" s="189">
        <f t="shared" si="2"/>
        <v>0</v>
      </c>
      <c r="K18" s="181">
        <f t="shared" si="0"/>
        <v>0</v>
      </c>
      <c r="L18" s="38"/>
    </row>
    <row r="19" spans="2:12" ht="30" customHeight="1" x14ac:dyDescent="0.3">
      <c r="B19" s="37" t="str">
        <f t="shared" si="3"/>
        <v>ePCR</v>
      </c>
      <c r="C19" s="2">
        <f>IF(ISTEXT(D19),MAX($C$4:$C18)+1,"")</f>
        <v>16</v>
      </c>
      <c r="D19" s="159" t="s">
        <v>10</v>
      </c>
      <c r="E19" s="55" t="s">
        <v>443</v>
      </c>
      <c r="F19" s="176" t="s">
        <v>43</v>
      </c>
      <c r="G19" s="177" t="s">
        <v>88</v>
      </c>
      <c r="H19" s="185">
        <f>COUNTIFS(D:D,"=Minimal",F:F,"=Exception")</f>
        <v>0</v>
      </c>
      <c r="I19" s="188">
        <f t="shared" si="1"/>
        <v>2</v>
      </c>
      <c r="J19" s="189">
        <f t="shared" si="2"/>
        <v>0</v>
      </c>
      <c r="K19" s="181">
        <f t="shared" si="0"/>
        <v>0</v>
      </c>
      <c r="L19" s="38"/>
    </row>
    <row r="20" spans="2:12" ht="30" customHeight="1" x14ac:dyDescent="0.3">
      <c r="B20" s="37" t="str">
        <f t="shared" si="3"/>
        <v>ePCR</v>
      </c>
      <c r="C20" s="2">
        <f>IF(ISTEXT(D20),MAX($C$4:$C19)+1,"")</f>
        <v>17</v>
      </c>
      <c r="D20" s="159" t="s">
        <v>10</v>
      </c>
      <c r="E20" s="55" t="s">
        <v>444</v>
      </c>
      <c r="F20" s="176" t="s">
        <v>43</v>
      </c>
      <c r="G20" s="177"/>
      <c r="H20" s="184"/>
      <c r="I20" s="188">
        <f t="shared" si="1"/>
        <v>2</v>
      </c>
      <c r="J20" s="189">
        <f t="shared" si="2"/>
        <v>0</v>
      </c>
      <c r="K20" s="181">
        <f t="shared" si="0"/>
        <v>0</v>
      </c>
      <c r="L20" s="38"/>
    </row>
    <row r="21" spans="2:12" ht="30" customHeight="1" x14ac:dyDescent="0.3">
      <c r="B21" s="37" t="str">
        <f t="shared" si="3"/>
        <v>ePCR</v>
      </c>
      <c r="C21" s="2">
        <f>IF(ISTEXT(D21),MAX($C$4:$C20)+1,"")</f>
        <v>18</v>
      </c>
      <c r="D21" s="159" t="s">
        <v>10</v>
      </c>
      <c r="E21" s="283" t="s">
        <v>445</v>
      </c>
      <c r="F21" s="176" t="s">
        <v>43</v>
      </c>
      <c r="G21" s="177"/>
      <c r="H21" s="184"/>
      <c r="I21" s="188">
        <f t="shared" si="1"/>
        <v>2</v>
      </c>
      <c r="J21" s="189">
        <f t="shared" si="2"/>
        <v>0</v>
      </c>
      <c r="K21" s="181">
        <f t="shared" si="0"/>
        <v>0</v>
      </c>
      <c r="L21" s="38"/>
    </row>
    <row r="22" spans="2:12" ht="30" customHeight="1" x14ac:dyDescent="0.3">
      <c r="B22" s="40" t="str">
        <f t="shared" si="3"/>
        <v/>
      </c>
      <c r="C22" s="1" t="str">
        <f>IF(ISTEXT(D22),MAX($C$6:$C21)+1,"")</f>
        <v/>
      </c>
      <c r="D22" s="3"/>
      <c r="E22" s="64" t="s">
        <v>446</v>
      </c>
      <c r="F22" s="115"/>
      <c r="G22" s="31"/>
      <c r="H22" s="31"/>
      <c r="I22" s="31"/>
      <c r="J22" s="31"/>
      <c r="K22" s="181"/>
      <c r="L22" s="31"/>
    </row>
    <row r="23" spans="2:12" ht="30" customHeight="1" x14ac:dyDescent="0.3">
      <c r="B23" s="37" t="str">
        <f t="shared" si="3"/>
        <v>ePCR</v>
      </c>
      <c r="C23" s="2">
        <f>IF(ISTEXT(D23),MAX($C$4:$C21)+1,"")</f>
        <v>19</v>
      </c>
      <c r="D23" s="159" t="s">
        <v>10</v>
      </c>
      <c r="E23" s="284" t="s">
        <v>199</v>
      </c>
      <c r="F23" s="176" t="s">
        <v>43</v>
      </c>
      <c r="G23" s="177"/>
      <c r="H23" s="184"/>
      <c r="I23" s="188">
        <f t="shared" si="1"/>
        <v>2</v>
      </c>
      <c r="J23" s="189">
        <f t="shared" si="2"/>
        <v>0</v>
      </c>
      <c r="K23" s="181">
        <f t="shared" si="0"/>
        <v>0</v>
      </c>
      <c r="L23" s="38"/>
    </row>
    <row r="24" spans="2:12" ht="30" customHeight="1" x14ac:dyDescent="0.3">
      <c r="B24" s="37" t="str">
        <f t="shared" si="3"/>
        <v>ePCR</v>
      </c>
      <c r="C24" s="2">
        <f>IF(ISTEXT(D24),MAX($C$4:$C23)+1,"")</f>
        <v>20</v>
      </c>
      <c r="D24" s="159" t="s">
        <v>10</v>
      </c>
      <c r="E24" s="285" t="s">
        <v>447</v>
      </c>
      <c r="F24" s="176" t="s">
        <v>43</v>
      </c>
      <c r="G24" s="177"/>
      <c r="H24" s="184"/>
      <c r="I24" s="188">
        <f t="shared" si="1"/>
        <v>2</v>
      </c>
      <c r="J24" s="189">
        <f t="shared" si="2"/>
        <v>0</v>
      </c>
      <c r="K24" s="181">
        <f t="shared" si="0"/>
        <v>0</v>
      </c>
      <c r="L24" s="38"/>
    </row>
    <row r="25" spans="2:12" ht="30" customHeight="1" x14ac:dyDescent="0.3">
      <c r="B25" s="37" t="str">
        <f t="shared" si="3"/>
        <v>ePCR</v>
      </c>
      <c r="C25" s="2">
        <f>IF(ISTEXT(D25),MAX($C$4:$C24)+1,"")</f>
        <v>21</v>
      </c>
      <c r="D25" s="159" t="s">
        <v>10</v>
      </c>
      <c r="E25" s="285" t="s">
        <v>448</v>
      </c>
      <c r="F25" s="176" t="s">
        <v>43</v>
      </c>
      <c r="G25" s="192"/>
      <c r="H25" s="193"/>
      <c r="I25" s="190">
        <f t="shared" si="1"/>
        <v>2</v>
      </c>
      <c r="J25" s="191">
        <f t="shared" si="2"/>
        <v>0</v>
      </c>
      <c r="K25" s="181">
        <f t="shared" si="0"/>
        <v>0</v>
      </c>
      <c r="L25" s="38"/>
    </row>
    <row r="26" spans="2:12" ht="30" customHeight="1" x14ac:dyDescent="0.3">
      <c r="B26" s="37" t="str">
        <f t="shared" si="3"/>
        <v>ePCR</v>
      </c>
      <c r="C26" s="2">
        <f>IF(ISTEXT(D26),MAX($C$4:$C25)+1,"")</f>
        <v>22</v>
      </c>
      <c r="D26" s="159" t="s">
        <v>10</v>
      </c>
      <c r="E26" s="285" t="s">
        <v>449</v>
      </c>
      <c r="F26" s="176" t="s">
        <v>43</v>
      </c>
      <c r="G26" s="186"/>
      <c r="H26" s="234"/>
      <c r="I26" s="179">
        <f t="shared" si="1"/>
        <v>2</v>
      </c>
      <c r="J26" s="180">
        <f t="shared" si="2"/>
        <v>0</v>
      </c>
      <c r="K26" s="181">
        <f t="shared" si="0"/>
        <v>0</v>
      </c>
      <c r="L26" s="38"/>
    </row>
    <row r="27" spans="2:12" ht="30" customHeight="1" x14ac:dyDescent="0.3">
      <c r="B27" s="37" t="str">
        <f t="shared" si="3"/>
        <v>ePCR</v>
      </c>
      <c r="C27" s="2">
        <f>IF(ISTEXT(D27),MAX($C$4:$C26)+1,"")</f>
        <v>23</v>
      </c>
      <c r="D27" s="159" t="s">
        <v>10</v>
      </c>
      <c r="E27" s="285" t="s">
        <v>450</v>
      </c>
      <c r="F27" s="176" t="s">
        <v>43</v>
      </c>
      <c r="G27" s="177"/>
      <c r="H27" s="184"/>
      <c r="I27" s="188">
        <f t="shared" si="1"/>
        <v>2</v>
      </c>
      <c r="J27" s="189">
        <f t="shared" si="2"/>
        <v>0</v>
      </c>
      <c r="K27" s="181">
        <f t="shared" si="0"/>
        <v>0</v>
      </c>
      <c r="L27" s="38"/>
    </row>
    <row r="28" spans="2:12" ht="30" customHeight="1" x14ac:dyDescent="0.3">
      <c r="B28" s="37" t="str">
        <f t="shared" si="3"/>
        <v>ePCR</v>
      </c>
      <c r="C28" s="2">
        <f>IF(ISTEXT(D28),MAX($C$4:$C27)+1,"")</f>
        <v>24</v>
      </c>
      <c r="D28" s="159" t="s">
        <v>10</v>
      </c>
      <c r="E28" s="285" t="s">
        <v>451</v>
      </c>
      <c r="F28" s="176" t="s">
        <v>43</v>
      </c>
      <c r="G28" s="192"/>
      <c r="H28" s="193"/>
      <c r="I28" s="190">
        <f t="shared" si="1"/>
        <v>2</v>
      </c>
      <c r="J28" s="191">
        <f t="shared" si="2"/>
        <v>0</v>
      </c>
      <c r="K28" s="181">
        <f t="shared" si="0"/>
        <v>0</v>
      </c>
      <c r="L28" s="38"/>
    </row>
    <row r="29" spans="2:12" ht="30" customHeight="1" x14ac:dyDescent="0.3">
      <c r="B29" s="37" t="str">
        <f t="shared" si="3"/>
        <v>ePCR</v>
      </c>
      <c r="C29" s="2">
        <f>IF(ISTEXT(D29),MAX($C$4:$C28)+1,"")</f>
        <v>25</v>
      </c>
      <c r="D29" s="159" t="s">
        <v>10</v>
      </c>
      <c r="E29" s="283" t="s">
        <v>452</v>
      </c>
      <c r="F29" s="176" t="s">
        <v>43</v>
      </c>
      <c r="G29" s="186"/>
      <c r="H29" s="234"/>
      <c r="I29" s="179">
        <f t="shared" si="1"/>
        <v>2</v>
      </c>
      <c r="J29" s="180">
        <f t="shared" si="2"/>
        <v>0</v>
      </c>
      <c r="K29" s="181">
        <f t="shared" si="0"/>
        <v>0</v>
      </c>
      <c r="L29" s="38"/>
    </row>
    <row r="30" spans="2:12" ht="30" customHeight="1" x14ac:dyDescent="0.3">
      <c r="B30" s="37" t="str">
        <f t="shared" si="3"/>
        <v>ePCR</v>
      </c>
      <c r="C30" s="2">
        <f>IF(ISTEXT(D30),MAX($C$4:$C29)+1,"")</f>
        <v>26</v>
      </c>
      <c r="D30" s="159" t="s">
        <v>9</v>
      </c>
      <c r="E30" s="286" t="s">
        <v>453</v>
      </c>
      <c r="F30" s="176" t="s">
        <v>43</v>
      </c>
      <c r="G30" s="177"/>
      <c r="H30" s="184"/>
      <c r="I30" s="188">
        <f t="shared" si="1"/>
        <v>3</v>
      </c>
      <c r="J30" s="189">
        <f t="shared" si="2"/>
        <v>0</v>
      </c>
      <c r="K30" s="181">
        <f t="shared" si="0"/>
        <v>0</v>
      </c>
      <c r="L30" s="38"/>
    </row>
    <row r="31" spans="2:12" ht="30" customHeight="1" x14ac:dyDescent="0.3">
      <c r="B31" s="40" t="str">
        <f t="shared" si="3"/>
        <v/>
      </c>
      <c r="C31" s="1" t="str">
        <f>IF(ISTEXT(D31),MAX($C$6:$C30)+1,"")</f>
        <v/>
      </c>
      <c r="D31" s="3"/>
      <c r="E31" s="64" t="s">
        <v>454</v>
      </c>
      <c r="F31" s="115"/>
      <c r="G31" s="31"/>
      <c r="H31" s="31"/>
      <c r="I31" s="31"/>
      <c r="J31" s="31"/>
      <c r="K31" s="181"/>
      <c r="L31" s="31"/>
    </row>
    <row r="32" spans="2:12" ht="30" customHeight="1" x14ac:dyDescent="0.3">
      <c r="B32" s="37" t="str">
        <f t="shared" si="3"/>
        <v>ePCR</v>
      </c>
      <c r="C32" s="2">
        <f>IF(ISTEXT(D32),MAX($C$4:$C30)+1,"")</f>
        <v>27</v>
      </c>
      <c r="D32" s="159" t="s">
        <v>9</v>
      </c>
      <c r="E32" s="82" t="s">
        <v>455</v>
      </c>
      <c r="F32" s="176" t="s">
        <v>43</v>
      </c>
      <c r="G32" s="177"/>
      <c r="H32" s="184"/>
      <c r="I32" s="188">
        <f t="shared" si="1"/>
        <v>3</v>
      </c>
      <c r="J32" s="189">
        <f t="shared" si="2"/>
        <v>0</v>
      </c>
      <c r="K32" s="181">
        <f t="shared" si="0"/>
        <v>0</v>
      </c>
      <c r="L32" s="38"/>
    </row>
    <row r="33" spans="2:12" ht="30" customHeight="1" x14ac:dyDescent="0.3">
      <c r="B33" s="37" t="str">
        <f t="shared" si="3"/>
        <v>ePCR</v>
      </c>
      <c r="C33" s="2">
        <f>IF(ISTEXT(D33),MAX($C$4:$C32)+1,"")</f>
        <v>28</v>
      </c>
      <c r="D33" s="159" t="s">
        <v>9</v>
      </c>
      <c r="E33" s="82" t="s">
        <v>456</v>
      </c>
      <c r="F33" s="176" t="s">
        <v>43</v>
      </c>
      <c r="G33" s="177"/>
      <c r="H33" s="184"/>
      <c r="I33" s="188">
        <f t="shared" si="1"/>
        <v>3</v>
      </c>
      <c r="J33" s="189">
        <f t="shared" si="2"/>
        <v>0</v>
      </c>
      <c r="K33" s="181">
        <f t="shared" si="0"/>
        <v>0</v>
      </c>
      <c r="L33" s="38"/>
    </row>
    <row r="34" spans="2:12" ht="30" customHeight="1" x14ac:dyDescent="0.3">
      <c r="B34" s="37" t="str">
        <f t="shared" si="3"/>
        <v>ePCR</v>
      </c>
      <c r="C34" s="2">
        <f>IF(ISTEXT(D34),MAX($C$4:$C33)+1,"")</f>
        <v>29</v>
      </c>
      <c r="D34" s="159" t="s">
        <v>9</v>
      </c>
      <c r="E34" s="81" t="s">
        <v>251</v>
      </c>
      <c r="F34" s="176" t="s">
        <v>43</v>
      </c>
      <c r="G34" s="177"/>
      <c r="H34" s="184"/>
      <c r="I34" s="188">
        <f t="shared" si="1"/>
        <v>3</v>
      </c>
      <c r="J34" s="189">
        <f t="shared" si="2"/>
        <v>0</v>
      </c>
      <c r="K34" s="181">
        <f t="shared" si="0"/>
        <v>0</v>
      </c>
      <c r="L34" s="38"/>
    </row>
    <row r="35" spans="2:12" ht="30" customHeight="1" x14ac:dyDescent="0.3">
      <c r="B35" s="37" t="str">
        <f t="shared" si="3"/>
        <v>ePCR</v>
      </c>
      <c r="C35" s="2">
        <f>IF(ISTEXT(D35),MAX($C$4:$C34)+1,"")</f>
        <v>30</v>
      </c>
      <c r="D35" s="159" t="s">
        <v>9</v>
      </c>
      <c r="E35" s="81" t="s">
        <v>457</v>
      </c>
      <c r="F35" s="176" t="s">
        <v>43</v>
      </c>
      <c r="G35" s="177"/>
      <c r="H35" s="184"/>
      <c r="I35" s="188">
        <f t="shared" si="1"/>
        <v>3</v>
      </c>
      <c r="J35" s="189">
        <f t="shared" si="2"/>
        <v>0</v>
      </c>
      <c r="K35" s="181">
        <f t="shared" si="0"/>
        <v>0</v>
      </c>
      <c r="L35" s="38"/>
    </row>
    <row r="36" spans="2:12" ht="30" customHeight="1" x14ac:dyDescent="0.3">
      <c r="B36" s="37" t="str">
        <f t="shared" si="3"/>
        <v>ePCR</v>
      </c>
      <c r="C36" s="2">
        <f>IF(ISTEXT(D36),MAX($C$4:$C35)+1,"")</f>
        <v>31</v>
      </c>
      <c r="D36" s="159" t="s">
        <v>9</v>
      </c>
      <c r="E36" s="81" t="s">
        <v>458</v>
      </c>
      <c r="F36" s="176" t="s">
        <v>43</v>
      </c>
      <c r="G36" s="177"/>
      <c r="H36" s="184"/>
      <c r="I36" s="188">
        <f t="shared" si="1"/>
        <v>3</v>
      </c>
      <c r="J36" s="189">
        <f t="shared" si="2"/>
        <v>0</v>
      </c>
      <c r="K36" s="181">
        <f t="shared" si="0"/>
        <v>0</v>
      </c>
      <c r="L36" s="38"/>
    </row>
    <row r="37" spans="2:12" ht="30" customHeight="1" x14ac:dyDescent="0.3">
      <c r="B37" s="37" t="str">
        <f t="shared" si="3"/>
        <v>ePCR</v>
      </c>
      <c r="C37" s="2">
        <f>IF(ISTEXT(D37),MAX($C$4:$C36)+1,"")</f>
        <v>32</v>
      </c>
      <c r="D37" s="159" t="s">
        <v>10</v>
      </c>
      <c r="E37" s="81" t="s">
        <v>459</v>
      </c>
      <c r="F37" s="176" t="s">
        <v>43</v>
      </c>
      <c r="G37" s="177"/>
      <c r="H37" s="184"/>
      <c r="I37" s="188">
        <f t="shared" si="1"/>
        <v>2</v>
      </c>
      <c r="J37" s="189">
        <f t="shared" si="2"/>
        <v>0</v>
      </c>
      <c r="K37" s="181">
        <f t="shared" si="0"/>
        <v>0</v>
      </c>
      <c r="L37" s="38"/>
    </row>
    <row r="38" spans="2:12" ht="30" customHeight="1" x14ac:dyDescent="0.3">
      <c r="B38" s="37" t="str">
        <f t="shared" si="3"/>
        <v>ePCR</v>
      </c>
      <c r="C38" s="2">
        <f>IF(ISTEXT(D38),MAX($C$4:$C37)+1,"")</f>
        <v>33</v>
      </c>
      <c r="D38" s="159" t="s">
        <v>10</v>
      </c>
      <c r="E38" s="81" t="s">
        <v>460</v>
      </c>
      <c r="F38" s="176" t="s">
        <v>43</v>
      </c>
      <c r="G38" s="177"/>
      <c r="H38" s="184"/>
      <c r="I38" s="188">
        <f t="shared" si="1"/>
        <v>2</v>
      </c>
      <c r="J38" s="189">
        <f t="shared" si="2"/>
        <v>0</v>
      </c>
      <c r="K38" s="181">
        <f t="shared" si="0"/>
        <v>0</v>
      </c>
      <c r="L38" s="38"/>
    </row>
    <row r="39" spans="2:12" ht="30" customHeight="1" x14ac:dyDescent="0.3">
      <c r="B39" s="37" t="str">
        <f t="shared" si="3"/>
        <v>ePCR</v>
      </c>
      <c r="C39" s="2">
        <f>IF(ISTEXT(D39),MAX($C$4:$C38)+1,"")</f>
        <v>34</v>
      </c>
      <c r="D39" s="159" t="s">
        <v>10</v>
      </c>
      <c r="E39" s="81" t="s">
        <v>461</v>
      </c>
      <c r="F39" s="176" t="s">
        <v>43</v>
      </c>
      <c r="G39" s="177"/>
      <c r="H39" s="184"/>
      <c r="I39" s="188">
        <f t="shared" si="1"/>
        <v>2</v>
      </c>
      <c r="J39" s="189">
        <f t="shared" si="2"/>
        <v>0</v>
      </c>
      <c r="K39" s="181">
        <f t="shared" si="0"/>
        <v>0</v>
      </c>
      <c r="L39" s="38"/>
    </row>
    <row r="40" spans="2:12" ht="30" customHeight="1" x14ac:dyDescent="0.3">
      <c r="B40" s="37" t="str">
        <f t="shared" si="3"/>
        <v>ePCR</v>
      </c>
      <c r="C40" s="2">
        <f>IF(ISTEXT(D40),MAX($C$4:$C39)+1,"")</f>
        <v>35</v>
      </c>
      <c r="D40" s="159" t="s">
        <v>9</v>
      </c>
      <c r="E40" s="81" t="s">
        <v>462</v>
      </c>
      <c r="F40" s="176" t="s">
        <v>43</v>
      </c>
      <c r="G40" s="177"/>
      <c r="H40" s="184"/>
      <c r="I40" s="188">
        <f t="shared" si="1"/>
        <v>3</v>
      </c>
      <c r="J40" s="189">
        <f t="shared" si="2"/>
        <v>0</v>
      </c>
      <c r="K40" s="181">
        <f t="shared" si="0"/>
        <v>0</v>
      </c>
      <c r="L40" s="38"/>
    </row>
    <row r="41" spans="2:12" ht="30" customHeight="1" x14ac:dyDescent="0.3">
      <c r="B41" s="37" t="str">
        <f t="shared" si="3"/>
        <v>ePCR</v>
      </c>
      <c r="C41" s="2">
        <f>IF(ISTEXT(D41),MAX($C$4:$C40)+1,"")</f>
        <v>36</v>
      </c>
      <c r="D41" s="159" t="s">
        <v>10</v>
      </c>
      <c r="E41" s="81" t="s">
        <v>463</v>
      </c>
      <c r="F41" s="176" t="s">
        <v>43</v>
      </c>
      <c r="G41" s="177"/>
      <c r="H41" s="184"/>
      <c r="I41" s="188">
        <f t="shared" si="1"/>
        <v>2</v>
      </c>
      <c r="J41" s="189">
        <f t="shared" si="2"/>
        <v>0</v>
      </c>
      <c r="K41" s="181">
        <f t="shared" si="0"/>
        <v>0</v>
      </c>
      <c r="L41" s="38"/>
    </row>
    <row r="42" spans="2:12" ht="30" customHeight="1" x14ac:dyDescent="0.3">
      <c r="B42" s="37" t="str">
        <f t="shared" si="3"/>
        <v>ePCR</v>
      </c>
      <c r="C42" s="2">
        <f>IF(ISTEXT(D42),MAX($C$4:$C41)+1,"")</f>
        <v>37</v>
      </c>
      <c r="D42" s="159" t="s">
        <v>10</v>
      </c>
      <c r="E42" s="81" t="s">
        <v>1241</v>
      </c>
      <c r="F42" s="176" t="s">
        <v>43</v>
      </c>
      <c r="G42" s="177"/>
      <c r="H42" s="184"/>
      <c r="I42" s="188">
        <f t="shared" si="1"/>
        <v>2</v>
      </c>
      <c r="J42" s="189">
        <f t="shared" si="2"/>
        <v>0</v>
      </c>
      <c r="K42" s="181">
        <f t="shared" si="0"/>
        <v>0</v>
      </c>
      <c r="L42" s="38"/>
    </row>
    <row r="43" spans="2:12" ht="30" customHeight="1" x14ac:dyDescent="0.3">
      <c r="B43" s="37" t="str">
        <f t="shared" si="3"/>
        <v>ePCR</v>
      </c>
      <c r="C43" s="2">
        <f>IF(ISTEXT(D43),MAX($C$4:$C42)+1,"")</f>
        <v>38</v>
      </c>
      <c r="D43" s="159" t="s">
        <v>9</v>
      </c>
      <c r="E43" s="81" t="s">
        <v>464</v>
      </c>
      <c r="F43" s="176" t="s">
        <v>43</v>
      </c>
      <c r="G43" s="177"/>
      <c r="H43" s="184"/>
      <c r="I43" s="188">
        <f t="shared" si="1"/>
        <v>3</v>
      </c>
      <c r="J43" s="189">
        <f t="shared" si="2"/>
        <v>0</v>
      </c>
      <c r="K43" s="181">
        <f t="shared" si="0"/>
        <v>0</v>
      </c>
      <c r="L43" s="38"/>
    </row>
    <row r="44" spans="2:12" ht="30" customHeight="1" x14ac:dyDescent="0.3">
      <c r="B44" s="260" t="str">
        <f t="shared" si="3"/>
        <v>ePCR</v>
      </c>
      <c r="C44" s="260">
        <f>IF(ISTEXT(D44),MAX($C$4:$C43)+1,"")</f>
        <v>39</v>
      </c>
      <c r="D44" s="159" t="s">
        <v>9</v>
      </c>
      <c r="E44" s="81" t="s">
        <v>465</v>
      </c>
      <c r="F44" s="176" t="s">
        <v>43</v>
      </c>
      <c r="G44" s="192"/>
      <c r="H44" s="193"/>
      <c r="I44" s="190">
        <f t="shared" si="1"/>
        <v>3</v>
      </c>
      <c r="J44" s="191">
        <f t="shared" si="2"/>
        <v>0</v>
      </c>
      <c r="K44" s="181">
        <f t="shared" si="0"/>
        <v>0</v>
      </c>
      <c r="L44" s="39"/>
    </row>
    <row r="45" spans="2:12" ht="30" customHeight="1" x14ac:dyDescent="0.3">
      <c r="B45" s="260" t="str">
        <f t="shared" ref="B45:B213" si="4">IF(C45="","",$B$4)</f>
        <v>ePCR</v>
      </c>
      <c r="C45" s="260">
        <f>IF(ISTEXT(D45),MAX($C$4:$C44)+1,"")</f>
        <v>40</v>
      </c>
      <c r="D45" s="159" t="s">
        <v>9</v>
      </c>
      <c r="E45" s="81" t="s">
        <v>466</v>
      </c>
      <c r="F45" s="176" t="s">
        <v>43</v>
      </c>
      <c r="G45" s="192"/>
      <c r="H45" s="193"/>
      <c r="I45" s="190">
        <f t="shared" si="1"/>
        <v>3</v>
      </c>
      <c r="J45" s="191">
        <f t="shared" si="2"/>
        <v>0</v>
      </c>
      <c r="K45" s="181">
        <f t="shared" si="0"/>
        <v>0</v>
      </c>
      <c r="L45" s="39"/>
    </row>
    <row r="46" spans="2:12" ht="30" customHeight="1" x14ac:dyDescent="0.3">
      <c r="B46" s="260" t="str">
        <f t="shared" si="4"/>
        <v>ePCR</v>
      </c>
      <c r="C46" s="260">
        <f>IF(ISTEXT(D46),MAX($C$4:$C45)+1,"")</f>
        <v>41</v>
      </c>
      <c r="D46" s="159" t="s">
        <v>9</v>
      </c>
      <c r="E46" s="60" t="s">
        <v>1242</v>
      </c>
      <c r="F46" s="176" t="s">
        <v>43</v>
      </c>
      <c r="G46" s="192"/>
      <c r="H46" s="193"/>
      <c r="I46" s="190">
        <f t="shared" si="1"/>
        <v>3</v>
      </c>
      <c r="J46" s="191">
        <f t="shared" si="2"/>
        <v>0</v>
      </c>
      <c r="K46" s="181">
        <f t="shared" si="0"/>
        <v>0</v>
      </c>
      <c r="L46" s="39"/>
    </row>
    <row r="47" spans="2:12" ht="41.4" x14ac:dyDescent="0.3">
      <c r="B47" s="260" t="str">
        <f t="shared" si="4"/>
        <v>ePCR</v>
      </c>
      <c r="C47" s="260">
        <f>IF(ISTEXT(D47),MAX($C$4:$C46)+1,"")</f>
        <v>42</v>
      </c>
      <c r="D47" s="159" t="s">
        <v>9</v>
      </c>
      <c r="E47" s="287" t="s">
        <v>467</v>
      </c>
      <c r="F47" s="176" t="s">
        <v>43</v>
      </c>
      <c r="G47" s="192"/>
      <c r="H47" s="193"/>
      <c r="I47" s="190">
        <f t="shared" si="1"/>
        <v>3</v>
      </c>
      <c r="J47" s="191">
        <f t="shared" si="2"/>
        <v>0</v>
      </c>
      <c r="K47" s="181">
        <f t="shared" si="0"/>
        <v>0</v>
      </c>
      <c r="L47" s="39"/>
    </row>
    <row r="48" spans="2:12" ht="27.6" x14ac:dyDescent="0.3">
      <c r="B48" s="288" t="str">
        <f t="shared" si="4"/>
        <v>ePCR</v>
      </c>
      <c r="C48" s="288">
        <f>IF(ISTEXT(D48),MAX($C$4:$C47)+1,"")</f>
        <v>43</v>
      </c>
      <c r="D48" s="289" t="s">
        <v>10</v>
      </c>
      <c r="E48" s="290" t="s">
        <v>468</v>
      </c>
      <c r="F48" s="317" t="s">
        <v>43</v>
      </c>
      <c r="G48" s="192"/>
      <c r="H48" s="193"/>
      <c r="I48" s="190">
        <f>VLOOKUP($D48,SpecData,2,FALSE)</f>
        <v>2</v>
      </c>
      <c r="J48" s="191">
        <f>VLOOKUP($F48,AvailabilityData,2,FALSE)</f>
        <v>0</v>
      </c>
      <c r="K48" s="181">
        <f t="shared" si="0"/>
        <v>0</v>
      </c>
      <c r="L48" s="39"/>
    </row>
    <row r="49" spans="2:12" ht="15.6" x14ac:dyDescent="0.3">
      <c r="B49" s="76" t="s">
        <v>469</v>
      </c>
      <c r="C49" s="76"/>
      <c r="D49" s="76"/>
      <c r="E49" s="76"/>
      <c r="F49" s="76"/>
      <c r="G49" s="76"/>
      <c r="H49" s="76"/>
      <c r="I49" s="76"/>
      <c r="J49" s="76"/>
      <c r="K49" s="181"/>
      <c r="L49" s="76"/>
    </row>
    <row r="50" spans="2:12" ht="41.4" x14ac:dyDescent="0.3">
      <c r="B50" s="260" t="str">
        <f t="shared" si="4"/>
        <v>ePCR</v>
      </c>
      <c r="C50" s="260">
        <f>IF(ISTEXT(D50),MAX($C$4:$C48)+1,"")</f>
        <v>44</v>
      </c>
      <c r="D50" s="159" t="s">
        <v>41</v>
      </c>
      <c r="E50" s="291" t="s">
        <v>470</v>
      </c>
      <c r="F50" s="176" t="s">
        <v>43</v>
      </c>
      <c r="G50" s="177"/>
      <c r="H50" s="184"/>
      <c r="I50" s="188">
        <f t="shared" ref="I50:I73" si="5">VLOOKUP($D50,SpecData,2,FALSE)</f>
        <v>0</v>
      </c>
      <c r="J50" s="189">
        <f t="shared" ref="J50:J73" si="6">VLOOKUP($F50,AvailabilityData,2,FALSE)</f>
        <v>0</v>
      </c>
      <c r="K50" s="181">
        <f t="shared" si="0"/>
        <v>0</v>
      </c>
      <c r="L50" s="38"/>
    </row>
    <row r="51" spans="2:12" ht="41.4" x14ac:dyDescent="0.3">
      <c r="B51" s="260" t="str">
        <f t="shared" si="4"/>
        <v>ePCR</v>
      </c>
      <c r="C51" s="260">
        <f>IF(ISTEXT(D51),MAX($C$4:$C50)+1,"")</f>
        <v>45</v>
      </c>
      <c r="D51" s="159" t="s">
        <v>41</v>
      </c>
      <c r="E51" s="291" t="s">
        <v>471</v>
      </c>
      <c r="F51" s="176" t="s">
        <v>43</v>
      </c>
      <c r="G51" s="177"/>
      <c r="H51" s="184"/>
      <c r="I51" s="188">
        <f t="shared" si="5"/>
        <v>0</v>
      </c>
      <c r="J51" s="189">
        <f t="shared" si="6"/>
        <v>0</v>
      </c>
      <c r="K51" s="181">
        <f t="shared" si="0"/>
        <v>0</v>
      </c>
      <c r="L51" s="38"/>
    </row>
    <row r="52" spans="2:12" ht="30" customHeight="1" x14ac:dyDescent="0.3">
      <c r="B52" s="260" t="str">
        <f t="shared" si="4"/>
        <v>ePCR</v>
      </c>
      <c r="C52" s="260">
        <f>IF(ISTEXT(D52),MAX($C$4:$C51)+1,"")</f>
        <v>46</v>
      </c>
      <c r="D52" s="159" t="s">
        <v>41</v>
      </c>
      <c r="E52" s="292" t="s">
        <v>472</v>
      </c>
      <c r="F52" s="176" t="s">
        <v>43</v>
      </c>
      <c r="G52" s="177"/>
      <c r="H52" s="184"/>
      <c r="I52" s="188">
        <f t="shared" si="5"/>
        <v>0</v>
      </c>
      <c r="J52" s="189">
        <f t="shared" si="6"/>
        <v>0</v>
      </c>
      <c r="K52" s="181">
        <f t="shared" si="0"/>
        <v>0</v>
      </c>
      <c r="L52" s="38"/>
    </row>
    <row r="53" spans="2:12" ht="30" customHeight="1" x14ac:dyDescent="0.3">
      <c r="B53" s="260" t="str">
        <f t="shared" si="4"/>
        <v>ePCR</v>
      </c>
      <c r="C53" s="260">
        <f>IF(ISTEXT(D53),MAX($C$4:$C52)+1,"")</f>
        <v>47</v>
      </c>
      <c r="D53" s="159" t="s">
        <v>41</v>
      </c>
      <c r="E53" s="292" t="s">
        <v>473</v>
      </c>
      <c r="F53" s="176" t="s">
        <v>43</v>
      </c>
      <c r="G53" s="177"/>
      <c r="H53" s="184"/>
      <c r="I53" s="188">
        <f t="shared" si="5"/>
        <v>0</v>
      </c>
      <c r="J53" s="189">
        <f t="shared" si="6"/>
        <v>0</v>
      </c>
      <c r="K53" s="181">
        <f t="shared" si="0"/>
        <v>0</v>
      </c>
      <c r="L53" s="38"/>
    </row>
    <row r="54" spans="2:12" ht="30" customHeight="1" x14ac:dyDescent="0.3">
      <c r="B54" s="260" t="str">
        <f t="shared" si="4"/>
        <v>ePCR</v>
      </c>
      <c r="C54" s="260">
        <f>IF(ISTEXT(D54),MAX($C$4:$C53)+1,"")</f>
        <v>48</v>
      </c>
      <c r="D54" s="159" t="s">
        <v>41</v>
      </c>
      <c r="E54" s="292" t="s">
        <v>474</v>
      </c>
      <c r="F54" s="176" t="s">
        <v>43</v>
      </c>
      <c r="G54" s="177"/>
      <c r="H54" s="184"/>
      <c r="I54" s="188">
        <f t="shared" si="5"/>
        <v>0</v>
      </c>
      <c r="J54" s="189">
        <f t="shared" si="6"/>
        <v>0</v>
      </c>
      <c r="K54" s="181">
        <f t="shared" si="0"/>
        <v>0</v>
      </c>
      <c r="L54" s="38"/>
    </row>
    <row r="55" spans="2:12" ht="30" customHeight="1" x14ac:dyDescent="0.3">
      <c r="B55" s="260" t="str">
        <f t="shared" si="4"/>
        <v>ePCR</v>
      </c>
      <c r="C55" s="260">
        <f>IF(ISTEXT(D55),MAX($C$4:$C54)+1,"")</f>
        <v>49</v>
      </c>
      <c r="D55" s="159" t="s">
        <v>41</v>
      </c>
      <c r="E55" s="292" t="s">
        <v>475</v>
      </c>
      <c r="F55" s="176" t="s">
        <v>43</v>
      </c>
      <c r="G55" s="177"/>
      <c r="H55" s="184"/>
      <c r="I55" s="188">
        <f t="shared" si="5"/>
        <v>0</v>
      </c>
      <c r="J55" s="189">
        <f t="shared" si="6"/>
        <v>0</v>
      </c>
      <c r="K55" s="181">
        <f t="shared" si="0"/>
        <v>0</v>
      </c>
      <c r="L55" s="38"/>
    </row>
    <row r="56" spans="2:12" ht="30" customHeight="1" x14ac:dyDescent="0.3">
      <c r="B56" s="260" t="str">
        <f t="shared" si="4"/>
        <v>ePCR</v>
      </c>
      <c r="C56" s="260">
        <f>IF(ISTEXT(D56),MAX($C$4:$C55)+1,"")</f>
        <v>50</v>
      </c>
      <c r="D56" s="159" t="s">
        <v>41</v>
      </c>
      <c r="E56" s="287" t="s">
        <v>476</v>
      </c>
      <c r="F56" s="176" t="s">
        <v>43</v>
      </c>
      <c r="G56" s="177"/>
      <c r="H56" s="184"/>
      <c r="I56" s="188">
        <f t="shared" si="5"/>
        <v>0</v>
      </c>
      <c r="J56" s="189">
        <f t="shared" si="6"/>
        <v>0</v>
      </c>
      <c r="K56" s="181">
        <f t="shared" si="0"/>
        <v>0</v>
      </c>
      <c r="L56" s="38"/>
    </row>
    <row r="57" spans="2:12" ht="30" customHeight="1" x14ac:dyDescent="0.3">
      <c r="B57" s="260" t="str">
        <f t="shared" si="4"/>
        <v>ePCR</v>
      </c>
      <c r="C57" s="260">
        <f>IF(ISTEXT(D57),MAX($C$4:$C56)+1,"")</f>
        <v>51</v>
      </c>
      <c r="D57" s="159" t="s">
        <v>41</v>
      </c>
      <c r="E57" s="292" t="s">
        <v>477</v>
      </c>
      <c r="F57" s="176" t="s">
        <v>43</v>
      </c>
      <c r="G57" s="177"/>
      <c r="H57" s="184"/>
      <c r="I57" s="188">
        <f t="shared" si="5"/>
        <v>0</v>
      </c>
      <c r="J57" s="189">
        <f t="shared" si="6"/>
        <v>0</v>
      </c>
      <c r="K57" s="181">
        <f t="shared" si="0"/>
        <v>0</v>
      </c>
      <c r="L57" s="38"/>
    </row>
    <row r="58" spans="2:12" ht="30" customHeight="1" x14ac:dyDescent="0.3">
      <c r="B58" s="260" t="str">
        <f t="shared" si="4"/>
        <v>ePCR</v>
      </c>
      <c r="C58" s="260">
        <f>IF(ISTEXT(D58),MAX($C$4:$C57)+1,"")</f>
        <v>52</v>
      </c>
      <c r="D58" s="159" t="s">
        <v>41</v>
      </c>
      <c r="E58" s="292" t="s">
        <v>478</v>
      </c>
      <c r="F58" s="176" t="s">
        <v>43</v>
      </c>
      <c r="G58" s="177"/>
      <c r="H58" s="184"/>
      <c r="I58" s="188">
        <f t="shared" si="5"/>
        <v>0</v>
      </c>
      <c r="J58" s="189">
        <f t="shared" si="6"/>
        <v>0</v>
      </c>
      <c r="K58" s="181">
        <f t="shared" si="0"/>
        <v>0</v>
      </c>
      <c r="L58" s="38"/>
    </row>
    <row r="59" spans="2:12" ht="30" customHeight="1" x14ac:dyDescent="0.3">
      <c r="B59" s="260" t="str">
        <f t="shared" si="4"/>
        <v>ePCR</v>
      </c>
      <c r="C59" s="260">
        <f>IF(ISTEXT(D59),MAX($C$4:$C58)+1,"")</f>
        <v>53</v>
      </c>
      <c r="D59" s="159" t="s">
        <v>41</v>
      </c>
      <c r="E59" s="292" t="s">
        <v>479</v>
      </c>
      <c r="F59" s="176" t="s">
        <v>43</v>
      </c>
      <c r="G59" s="177"/>
      <c r="H59" s="184"/>
      <c r="I59" s="188">
        <f t="shared" si="5"/>
        <v>0</v>
      </c>
      <c r="J59" s="189">
        <f t="shared" si="6"/>
        <v>0</v>
      </c>
      <c r="K59" s="181">
        <f t="shared" si="0"/>
        <v>0</v>
      </c>
      <c r="L59" s="38"/>
    </row>
    <row r="60" spans="2:12" ht="41.4" x14ac:dyDescent="0.3">
      <c r="B60" s="260" t="str">
        <f t="shared" si="4"/>
        <v>ePCR</v>
      </c>
      <c r="C60" s="260">
        <f>IF(ISTEXT(D60),MAX($C$4:$C59)+1,"")</f>
        <v>54</v>
      </c>
      <c r="D60" s="159" t="s">
        <v>41</v>
      </c>
      <c r="E60" s="292" t="s">
        <v>480</v>
      </c>
      <c r="F60" s="176" t="s">
        <v>43</v>
      </c>
      <c r="G60" s="177"/>
      <c r="H60" s="184"/>
      <c r="I60" s="188">
        <f t="shared" si="5"/>
        <v>0</v>
      </c>
      <c r="J60" s="189">
        <f t="shared" si="6"/>
        <v>0</v>
      </c>
      <c r="K60" s="181">
        <f t="shared" si="0"/>
        <v>0</v>
      </c>
      <c r="L60" s="38"/>
    </row>
    <row r="61" spans="2:12" ht="30" customHeight="1" x14ac:dyDescent="0.3">
      <c r="B61" s="260" t="str">
        <f t="shared" si="4"/>
        <v>ePCR</v>
      </c>
      <c r="C61" s="260">
        <f>IF(ISTEXT(D61),MAX($C$4:$C60)+1,"")</f>
        <v>55</v>
      </c>
      <c r="D61" s="159" t="s">
        <v>41</v>
      </c>
      <c r="E61" s="292" t="s">
        <v>481</v>
      </c>
      <c r="F61" s="176" t="s">
        <v>43</v>
      </c>
      <c r="G61" s="177"/>
      <c r="H61" s="184"/>
      <c r="I61" s="188">
        <f t="shared" si="5"/>
        <v>0</v>
      </c>
      <c r="J61" s="189">
        <f t="shared" si="6"/>
        <v>0</v>
      </c>
      <c r="K61" s="181">
        <f t="shared" si="0"/>
        <v>0</v>
      </c>
      <c r="L61" s="38"/>
    </row>
    <row r="62" spans="2:12" ht="30" customHeight="1" x14ac:dyDescent="0.3">
      <c r="B62" s="260" t="str">
        <f t="shared" si="4"/>
        <v>ePCR</v>
      </c>
      <c r="C62" s="260">
        <f>IF(ISTEXT(D62),MAX($C$4:$C61)+1,"")</f>
        <v>56</v>
      </c>
      <c r="D62" s="159" t="s">
        <v>41</v>
      </c>
      <c r="E62" s="292" t="s">
        <v>482</v>
      </c>
      <c r="F62" s="176" t="s">
        <v>43</v>
      </c>
      <c r="G62" s="177"/>
      <c r="H62" s="184"/>
      <c r="I62" s="188">
        <f t="shared" si="5"/>
        <v>0</v>
      </c>
      <c r="J62" s="189">
        <f t="shared" si="6"/>
        <v>0</v>
      </c>
      <c r="K62" s="181">
        <f t="shared" si="0"/>
        <v>0</v>
      </c>
      <c r="L62" s="38"/>
    </row>
    <row r="63" spans="2:12" ht="30" customHeight="1" x14ac:dyDescent="0.3">
      <c r="B63" s="260" t="str">
        <f t="shared" si="4"/>
        <v>ePCR</v>
      </c>
      <c r="C63" s="260">
        <f>IF(ISTEXT(D63),MAX($C$4:$C62)+1,"")</f>
        <v>57</v>
      </c>
      <c r="D63" s="159" t="s">
        <v>41</v>
      </c>
      <c r="E63" s="287" t="s">
        <v>483</v>
      </c>
      <c r="F63" s="176" t="s">
        <v>43</v>
      </c>
      <c r="G63" s="177"/>
      <c r="H63" s="184"/>
      <c r="I63" s="188">
        <f t="shared" si="5"/>
        <v>0</v>
      </c>
      <c r="J63" s="189">
        <f t="shared" si="6"/>
        <v>0</v>
      </c>
      <c r="K63" s="181">
        <f t="shared" si="0"/>
        <v>0</v>
      </c>
      <c r="L63" s="38"/>
    </row>
    <row r="64" spans="2:12" ht="55.2" x14ac:dyDescent="0.3">
      <c r="B64" s="260" t="str">
        <f t="shared" si="4"/>
        <v>ePCR</v>
      </c>
      <c r="C64" s="260">
        <f>IF(ISTEXT(D64),MAX($C$4:$C63)+1,"")</f>
        <v>58</v>
      </c>
      <c r="D64" s="159" t="s">
        <v>41</v>
      </c>
      <c r="E64" s="292" t="s">
        <v>484</v>
      </c>
      <c r="F64" s="176" t="s">
        <v>43</v>
      </c>
      <c r="G64" s="177"/>
      <c r="H64" s="184"/>
      <c r="I64" s="188">
        <f t="shared" si="5"/>
        <v>0</v>
      </c>
      <c r="J64" s="189">
        <f t="shared" si="6"/>
        <v>0</v>
      </c>
      <c r="K64" s="181">
        <f t="shared" si="0"/>
        <v>0</v>
      </c>
      <c r="L64" s="38"/>
    </row>
    <row r="65" spans="2:12" ht="55.2" x14ac:dyDescent="0.3">
      <c r="B65" s="260" t="str">
        <f t="shared" si="4"/>
        <v>ePCR</v>
      </c>
      <c r="C65" s="260">
        <f>IF(ISTEXT(D65),MAX($C$4:$C64)+1,"")</f>
        <v>59</v>
      </c>
      <c r="D65" s="159" t="s">
        <v>41</v>
      </c>
      <c r="E65" s="293" t="s">
        <v>485</v>
      </c>
      <c r="F65" s="176" t="s">
        <v>43</v>
      </c>
      <c r="G65" s="177"/>
      <c r="H65" s="184"/>
      <c r="I65" s="188">
        <f t="shared" si="5"/>
        <v>0</v>
      </c>
      <c r="J65" s="189">
        <f t="shared" si="6"/>
        <v>0</v>
      </c>
      <c r="K65" s="181">
        <f t="shared" si="0"/>
        <v>0</v>
      </c>
      <c r="L65" s="38"/>
    </row>
    <row r="66" spans="2:12" ht="41.4" x14ac:dyDescent="0.3">
      <c r="B66" s="260" t="str">
        <f t="shared" si="4"/>
        <v>ePCR</v>
      </c>
      <c r="C66" s="260">
        <f>IF(ISTEXT(D66),MAX($C$4:$C65)+1,"")</f>
        <v>60</v>
      </c>
      <c r="D66" s="159" t="s">
        <v>41</v>
      </c>
      <c r="E66" s="292" t="s">
        <v>486</v>
      </c>
      <c r="F66" s="176" t="s">
        <v>43</v>
      </c>
      <c r="G66" s="177"/>
      <c r="H66" s="184"/>
      <c r="I66" s="188">
        <f t="shared" si="5"/>
        <v>0</v>
      </c>
      <c r="J66" s="189">
        <f t="shared" si="6"/>
        <v>0</v>
      </c>
      <c r="K66" s="181">
        <f t="shared" si="0"/>
        <v>0</v>
      </c>
      <c r="L66" s="38"/>
    </row>
    <row r="67" spans="2:12" ht="30" customHeight="1" x14ac:dyDescent="0.3">
      <c r="B67" s="260" t="str">
        <f t="shared" si="4"/>
        <v>ePCR</v>
      </c>
      <c r="C67" s="260">
        <f>IF(ISTEXT(D67),MAX($C$4:$C66)+1,"")</f>
        <v>61</v>
      </c>
      <c r="D67" s="159" t="s">
        <v>41</v>
      </c>
      <c r="E67" s="294" t="s">
        <v>487</v>
      </c>
      <c r="F67" s="176" t="s">
        <v>43</v>
      </c>
      <c r="G67" s="177"/>
      <c r="H67" s="184"/>
      <c r="I67" s="188">
        <f t="shared" si="5"/>
        <v>0</v>
      </c>
      <c r="J67" s="189">
        <f t="shared" si="6"/>
        <v>0</v>
      </c>
      <c r="K67" s="181">
        <f t="shared" si="0"/>
        <v>0</v>
      </c>
      <c r="L67" s="38"/>
    </row>
    <row r="68" spans="2:12" ht="30" customHeight="1" x14ac:dyDescent="0.3">
      <c r="B68" s="260" t="str">
        <f t="shared" si="4"/>
        <v>ePCR</v>
      </c>
      <c r="C68" s="260">
        <f>IF(ISTEXT(D68),MAX($C$4:$C67)+1,"")</f>
        <v>62</v>
      </c>
      <c r="D68" s="159" t="s">
        <v>41</v>
      </c>
      <c r="E68" s="294" t="s">
        <v>488</v>
      </c>
      <c r="F68" s="176" t="s">
        <v>43</v>
      </c>
      <c r="G68" s="177"/>
      <c r="H68" s="184"/>
      <c r="I68" s="188">
        <f t="shared" si="5"/>
        <v>0</v>
      </c>
      <c r="J68" s="189">
        <f t="shared" si="6"/>
        <v>0</v>
      </c>
      <c r="K68" s="181">
        <f t="shared" si="0"/>
        <v>0</v>
      </c>
      <c r="L68" s="38"/>
    </row>
    <row r="69" spans="2:12" ht="30" customHeight="1" x14ac:dyDescent="0.3">
      <c r="B69" s="260" t="str">
        <f t="shared" si="4"/>
        <v>ePCR</v>
      </c>
      <c r="C69" s="260">
        <f>IF(ISTEXT(D69),MAX($C$4:$C68)+1,"")</f>
        <v>63</v>
      </c>
      <c r="D69" s="159" t="s">
        <v>41</v>
      </c>
      <c r="E69" s="294" t="s">
        <v>489</v>
      </c>
      <c r="F69" s="176" t="s">
        <v>43</v>
      </c>
      <c r="G69" s="177"/>
      <c r="H69" s="184"/>
      <c r="I69" s="188">
        <f t="shared" si="5"/>
        <v>0</v>
      </c>
      <c r="J69" s="189">
        <f t="shared" si="6"/>
        <v>0</v>
      </c>
      <c r="K69" s="181">
        <f t="shared" ref="K69:K132" si="7">I69*J69</f>
        <v>0</v>
      </c>
      <c r="L69" s="38"/>
    </row>
    <row r="70" spans="2:12" ht="30" customHeight="1" x14ac:dyDescent="0.3">
      <c r="B70" s="260" t="str">
        <f t="shared" si="4"/>
        <v>ePCR</v>
      </c>
      <c r="C70" s="260">
        <f>IF(ISTEXT(D70),MAX($C$4:$C69)+1,"")</f>
        <v>64</v>
      </c>
      <c r="D70" s="159" t="s">
        <v>41</v>
      </c>
      <c r="E70" s="294" t="s">
        <v>490</v>
      </c>
      <c r="F70" s="176" t="s">
        <v>43</v>
      </c>
      <c r="G70" s="177"/>
      <c r="H70" s="184"/>
      <c r="I70" s="188">
        <f t="shared" si="5"/>
        <v>0</v>
      </c>
      <c r="J70" s="189">
        <f t="shared" si="6"/>
        <v>0</v>
      </c>
      <c r="K70" s="181">
        <f t="shared" si="7"/>
        <v>0</v>
      </c>
      <c r="L70" s="38"/>
    </row>
    <row r="71" spans="2:12" ht="30" customHeight="1" x14ac:dyDescent="0.3">
      <c r="B71" s="260" t="str">
        <f t="shared" si="4"/>
        <v>ePCR</v>
      </c>
      <c r="C71" s="260">
        <f>IF(ISTEXT(D71),MAX($C$4:$C70)+1,"")</f>
        <v>65</v>
      </c>
      <c r="D71" s="159" t="s">
        <v>41</v>
      </c>
      <c r="E71" s="294" t="s">
        <v>491</v>
      </c>
      <c r="F71" s="176" t="s">
        <v>43</v>
      </c>
      <c r="G71" s="177"/>
      <c r="H71" s="184"/>
      <c r="I71" s="188">
        <f t="shared" si="5"/>
        <v>0</v>
      </c>
      <c r="J71" s="189">
        <f t="shared" si="6"/>
        <v>0</v>
      </c>
      <c r="K71" s="181">
        <f t="shared" si="7"/>
        <v>0</v>
      </c>
      <c r="L71" s="38"/>
    </row>
    <row r="72" spans="2:12" ht="30" customHeight="1" x14ac:dyDescent="0.3">
      <c r="B72" s="260" t="str">
        <f t="shared" si="4"/>
        <v>ePCR</v>
      </c>
      <c r="C72" s="260">
        <f>IF(ISTEXT(D72),MAX($C$4:$C71)+1,"")</f>
        <v>66</v>
      </c>
      <c r="D72" s="159" t="s">
        <v>41</v>
      </c>
      <c r="E72" s="287" t="s">
        <v>492</v>
      </c>
      <c r="F72" s="176" t="s">
        <v>43</v>
      </c>
      <c r="G72" s="177"/>
      <c r="H72" s="184"/>
      <c r="I72" s="188">
        <f t="shared" si="5"/>
        <v>0</v>
      </c>
      <c r="J72" s="189">
        <f t="shared" si="6"/>
        <v>0</v>
      </c>
      <c r="K72" s="181">
        <f t="shared" si="7"/>
        <v>0</v>
      </c>
      <c r="L72" s="38"/>
    </row>
    <row r="73" spans="2:12" ht="30" customHeight="1" x14ac:dyDescent="0.3">
      <c r="B73" s="260" t="str">
        <f t="shared" si="4"/>
        <v>ePCR</v>
      </c>
      <c r="C73" s="260">
        <f>IF(ISTEXT(D73),MAX($C$4:$C72)+1,"")</f>
        <v>67</v>
      </c>
      <c r="D73" s="159" t="s">
        <v>41</v>
      </c>
      <c r="E73" s="287" t="s">
        <v>493</v>
      </c>
      <c r="F73" s="176" t="s">
        <v>43</v>
      </c>
      <c r="G73" s="177"/>
      <c r="H73" s="184"/>
      <c r="I73" s="188">
        <f t="shared" si="5"/>
        <v>0</v>
      </c>
      <c r="J73" s="189">
        <f t="shared" si="6"/>
        <v>0</v>
      </c>
      <c r="K73" s="181">
        <f t="shared" si="7"/>
        <v>0</v>
      </c>
      <c r="L73" s="38"/>
    </row>
    <row r="74" spans="2:12" ht="30" customHeight="1" x14ac:dyDescent="0.3">
      <c r="B74" s="40" t="str">
        <f>IF(C74="","",$B$4)</f>
        <v/>
      </c>
      <c r="C74" s="40" t="str">
        <f>IF(ISTEXT(D74),MAX($C$5:$C73)+1,"")</f>
        <v/>
      </c>
      <c r="D74" s="3"/>
      <c r="E74" s="295" t="s">
        <v>494</v>
      </c>
      <c r="F74" s="115"/>
      <c r="G74" s="31"/>
      <c r="H74" s="31"/>
      <c r="I74" s="31"/>
      <c r="J74" s="31"/>
      <c r="K74" s="181"/>
      <c r="L74" s="31"/>
    </row>
    <row r="75" spans="2:12" ht="30" customHeight="1" x14ac:dyDescent="0.3">
      <c r="B75" s="260" t="str">
        <f t="shared" si="4"/>
        <v>ePCR</v>
      </c>
      <c r="C75" s="260">
        <f>IF(ISTEXT(D75),MAX($C$4:$C73)+1,"")</f>
        <v>68</v>
      </c>
      <c r="D75" s="159" t="s">
        <v>41</v>
      </c>
      <c r="E75" s="296" t="s">
        <v>495</v>
      </c>
      <c r="F75" s="176" t="s">
        <v>43</v>
      </c>
      <c r="G75" s="177"/>
      <c r="H75" s="184"/>
      <c r="I75" s="188">
        <f t="shared" ref="I75:I81" si="8">VLOOKUP($D75,SpecData,2,FALSE)</f>
        <v>0</v>
      </c>
      <c r="J75" s="189">
        <f t="shared" ref="J75:J81" si="9">VLOOKUP($F75,AvailabilityData,2,FALSE)</f>
        <v>0</v>
      </c>
      <c r="K75" s="181">
        <f t="shared" si="7"/>
        <v>0</v>
      </c>
      <c r="L75" s="38"/>
    </row>
    <row r="76" spans="2:12" ht="30" customHeight="1" x14ac:dyDescent="0.3">
      <c r="B76" s="260" t="str">
        <f t="shared" si="4"/>
        <v>ePCR</v>
      </c>
      <c r="C76" s="260">
        <f>IF(ISTEXT(D76),MAX($C$4:$C75)+1,"")</f>
        <v>69</v>
      </c>
      <c r="D76" s="159" t="s">
        <v>41</v>
      </c>
      <c r="E76" s="297" t="s">
        <v>496</v>
      </c>
      <c r="F76" s="176" t="s">
        <v>43</v>
      </c>
      <c r="G76" s="177"/>
      <c r="H76" s="184"/>
      <c r="I76" s="188">
        <f t="shared" si="8"/>
        <v>0</v>
      </c>
      <c r="J76" s="189">
        <f t="shared" si="9"/>
        <v>0</v>
      </c>
      <c r="K76" s="181">
        <f t="shared" si="7"/>
        <v>0</v>
      </c>
      <c r="L76" s="38"/>
    </row>
    <row r="77" spans="2:12" ht="30" customHeight="1" x14ac:dyDescent="0.3">
      <c r="B77" s="260" t="str">
        <f t="shared" si="4"/>
        <v>ePCR</v>
      </c>
      <c r="C77" s="260">
        <f>IF(ISTEXT(D77),MAX($C$4:$C76)+1,"")</f>
        <v>70</v>
      </c>
      <c r="D77" s="159" t="s">
        <v>41</v>
      </c>
      <c r="E77" s="298" t="s">
        <v>497</v>
      </c>
      <c r="F77" s="176" t="s">
        <v>43</v>
      </c>
      <c r="G77" s="177"/>
      <c r="H77" s="184"/>
      <c r="I77" s="188">
        <f t="shared" si="8"/>
        <v>0</v>
      </c>
      <c r="J77" s="189">
        <f t="shared" si="9"/>
        <v>0</v>
      </c>
      <c r="K77" s="181">
        <f t="shared" si="7"/>
        <v>0</v>
      </c>
      <c r="L77" s="38"/>
    </row>
    <row r="78" spans="2:12" ht="30" customHeight="1" x14ac:dyDescent="0.3">
      <c r="B78" s="260" t="str">
        <f t="shared" si="4"/>
        <v>ePCR</v>
      </c>
      <c r="C78" s="260">
        <f>IF(ISTEXT(D78),MAX($C$4:$C77)+1,"")</f>
        <v>71</v>
      </c>
      <c r="D78" s="159" t="s">
        <v>41</v>
      </c>
      <c r="E78" s="298" t="s">
        <v>498</v>
      </c>
      <c r="F78" s="176" t="s">
        <v>43</v>
      </c>
      <c r="G78" s="177"/>
      <c r="H78" s="184"/>
      <c r="I78" s="188">
        <f t="shared" si="8"/>
        <v>0</v>
      </c>
      <c r="J78" s="189">
        <f t="shared" si="9"/>
        <v>0</v>
      </c>
      <c r="K78" s="181">
        <f t="shared" si="7"/>
        <v>0</v>
      </c>
      <c r="L78" s="38"/>
    </row>
    <row r="79" spans="2:12" ht="30" customHeight="1" x14ac:dyDescent="0.3">
      <c r="B79" s="260" t="str">
        <f t="shared" si="4"/>
        <v>ePCR</v>
      </c>
      <c r="C79" s="260">
        <f>IF(ISTEXT(D79),MAX($C$4:$C78)+1,"")</f>
        <v>72</v>
      </c>
      <c r="D79" s="159" t="s">
        <v>41</v>
      </c>
      <c r="E79" s="298" t="s">
        <v>499</v>
      </c>
      <c r="F79" s="176" t="s">
        <v>43</v>
      </c>
      <c r="G79" s="177"/>
      <c r="H79" s="184"/>
      <c r="I79" s="188">
        <f t="shared" si="8"/>
        <v>0</v>
      </c>
      <c r="J79" s="189">
        <f t="shared" si="9"/>
        <v>0</v>
      </c>
      <c r="K79" s="181">
        <f t="shared" si="7"/>
        <v>0</v>
      </c>
      <c r="L79" s="38"/>
    </row>
    <row r="80" spans="2:12" ht="30" customHeight="1" x14ac:dyDescent="0.3">
      <c r="B80" s="260" t="str">
        <f t="shared" si="4"/>
        <v>ePCR</v>
      </c>
      <c r="C80" s="260">
        <f>IF(ISTEXT(D80),MAX($C$4:$C79)+1,"")</f>
        <v>73</v>
      </c>
      <c r="D80" s="159" t="s">
        <v>41</v>
      </c>
      <c r="E80" s="296" t="s">
        <v>500</v>
      </c>
      <c r="F80" s="176" t="s">
        <v>43</v>
      </c>
      <c r="G80" s="177"/>
      <c r="H80" s="184"/>
      <c r="I80" s="188">
        <f t="shared" si="8"/>
        <v>0</v>
      </c>
      <c r="J80" s="189">
        <f t="shared" si="9"/>
        <v>0</v>
      </c>
      <c r="K80" s="181">
        <f t="shared" si="7"/>
        <v>0</v>
      </c>
      <c r="L80" s="38"/>
    </row>
    <row r="81" spans="2:12" ht="30" customHeight="1" x14ac:dyDescent="0.3">
      <c r="B81" s="260" t="str">
        <f t="shared" si="4"/>
        <v>ePCR</v>
      </c>
      <c r="C81" s="260">
        <f>IF(ISTEXT(D81),MAX($C$4:$C80)+1,"")</f>
        <v>74</v>
      </c>
      <c r="D81" s="159" t="s">
        <v>41</v>
      </c>
      <c r="E81" s="299" t="s">
        <v>501</v>
      </c>
      <c r="F81" s="176" t="s">
        <v>43</v>
      </c>
      <c r="G81" s="177"/>
      <c r="H81" s="184"/>
      <c r="I81" s="188">
        <f t="shared" si="8"/>
        <v>0</v>
      </c>
      <c r="J81" s="189">
        <f t="shared" si="9"/>
        <v>0</v>
      </c>
      <c r="K81" s="181">
        <f t="shared" si="7"/>
        <v>0</v>
      </c>
      <c r="L81" s="38"/>
    </row>
    <row r="82" spans="2:12" ht="15.6" x14ac:dyDescent="0.3">
      <c r="B82" s="76" t="s">
        <v>502</v>
      </c>
      <c r="C82" s="76"/>
      <c r="D82" s="76"/>
      <c r="E82" s="76"/>
      <c r="F82" s="76"/>
      <c r="G82" s="76"/>
      <c r="H82" s="76"/>
      <c r="I82" s="76"/>
      <c r="J82" s="76"/>
      <c r="K82" s="181"/>
      <c r="L82" s="76"/>
    </row>
    <row r="83" spans="2:12" ht="30" customHeight="1" x14ac:dyDescent="0.3">
      <c r="B83" s="40" t="str">
        <f>IF(C83="","",$B$4)</f>
        <v/>
      </c>
      <c r="C83" s="40" t="str">
        <f>IF(ISTEXT(D83),MAX($C$5:$C82)+1,"")</f>
        <v/>
      </c>
      <c r="D83" s="3"/>
      <c r="E83" s="295" t="s">
        <v>503</v>
      </c>
      <c r="F83" s="115"/>
      <c r="G83" s="31"/>
      <c r="H83" s="31"/>
      <c r="I83" s="31"/>
      <c r="J83" s="31"/>
      <c r="K83" s="181"/>
      <c r="L83" s="31"/>
    </row>
    <row r="84" spans="2:12" ht="30" customHeight="1" x14ac:dyDescent="0.3">
      <c r="B84" s="260" t="str">
        <f t="shared" si="4"/>
        <v>ePCR</v>
      </c>
      <c r="C84" s="260">
        <f>IF(ISTEXT(D84),MAX($C$4:$C81)+1,"")</f>
        <v>75</v>
      </c>
      <c r="D84" s="159" t="s">
        <v>41</v>
      </c>
      <c r="E84" s="300" t="s">
        <v>504</v>
      </c>
      <c r="F84" s="176" t="s">
        <v>43</v>
      </c>
      <c r="G84" s="177"/>
      <c r="H84" s="184"/>
      <c r="I84" s="188">
        <f t="shared" ref="I84:I99" si="10">VLOOKUP($D84,SpecData,2,FALSE)</f>
        <v>0</v>
      </c>
      <c r="J84" s="189">
        <f t="shared" ref="J84:J99" si="11">VLOOKUP($F84,AvailabilityData,2,FALSE)</f>
        <v>0</v>
      </c>
      <c r="K84" s="181">
        <f t="shared" si="7"/>
        <v>0</v>
      </c>
      <c r="L84" s="38"/>
    </row>
    <row r="85" spans="2:12" ht="30" customHeight="1" x14ac:dyDescent="0.3">
      <c r="B85" s="260" t="str">
        <f t="shared" si="4"/>
        <v>ePCR</v>
      </c>
      <c r="C85" s="260">
        <f>IF(ISTEXT(D85),MAX($C$4:$C84)+1,"")</f>
        <v>76</v>
      </c>
      <c r="D85" s="159" t="s">
        <v>41</v>
      </c>
      <c r="E85" s="298" t="s">
        <v>505</v>
      </c>
      <c r="F85" s="176" t="s">
        <v>43</v>
      </c>
      <c r="G85" s="177"/>
      <c r="H85" s="184"/>
      <c r="I85" s="188">
        <f t="shared" si="10"/>
        <v>0</v>
      </c>
      <c r="J85" s="189">
        <f t="shared" si="11"/>
        <v>0</v>
      </c>
      <c r="K85" s="181">
        <f t="shared" si="7"/>
        <v>0</v>
      </c>
      <c r="L85" s="38"/>
    </row>
    <row r="86" spans="2:12" ht="30" customHeight="1" x14ac:dyDescent="0.3">
      <c r="B86" s="260" t="str">
        <f t="shared" si="4"/>
        <v>ePCR</v>
      </c>
      <c r="C86" s="260">
        <f>IF(ISTEXT(D86),MAX($C$4:$C85)+1,"")</f>
        <v>77</v>
      </c>
      <c r="D86" s="159" t="s">
        <v>41</v>
      </c>
      <c r="E86" s="298" t="s">
        <v>506</v>
      </c>
      <c r="F86" s="176" t="s">
        <v>43</v>
      </c>
      <c r="G86" s="177"/>
      <c r="H86" s="184"/>
      <c r="I86" s="188">
        <f t="shared" si="10"/>
        <v>0</v>
      </c>
      <c r="J86" s="189">
        <f t="shared" si="11"/>
        <v>0</v>
      </c>
      <c r="K86" s="181">
        <f t="shared" si="7"/>
        <v>0</v>
      </c>
      <c r="L86" s="38"/>
    </row>
    <row r="87" spans="2:12" ht="30" customHeight="1" x14ac:dyDescent="0.3">
      <c r="B87" s="260" t="str">
        <f t="shared" si="4"/>
        <v>ePCR</v>
      </c>
      <c r="C87" s="260">
        <f>IF(ISTEXT(D87),MAX($C$4:$C86)+1,"")</f>
        <v>78</v>
      </c>
      <c r="D87" s="159" t="s">
        <v>41</v>
      </c>
      <c r="E87" s="298" t="s">
        <v>507</v>
      </c>
      <c r="F87" s="176" t="s">
        <v>43</v>
      </c>
      <c r="G87" s="177"/>
      <c r="H87" s="184"/>
      <c r="I87" s="188">
        <f t="shared" si="10"/>
        <v>0</v>
      </c>
      <c r="J87" s="189">
        <f t="shared" si="11"/>
        <v>0</v>
      </c>
      <c r="K87" s="181">
        <f t="shared" si="7"/>
        <v>0</v>
      </c>
      <c r="L87" s="38"/>
    </row>
    <row r="88" spans="2:12" ht="30" customHeight="1" x14ac:dyDescent="0.3">
      <c r="B88" s="260" t="str">
        <f t="shared" si="4"/>
        <v>ePCR</v>
      </c>
      <c r="C88" s="260">
        <f>IF(ISTEXT(D88),MAX($C$4:$C87)+1,"")</f>
        <v>79</v>
      </c>
      <c r="D88" s="159" t="s">
        <v>41</v>
      </c>
      <c r="E88" s="298" t="s">
        <v>508</v>
      </c>
      <c r="F88" s="176" t="s">
        <v>43</v>
      </c>
      <c r="G88" s="177"/>
      <c r="H88" s="184"/>
      <c r="I88" s="188">
        <f t="shared" si="10"/>
        <v>0</v>
      </c>
      <c r="J88" s="189">
        <f t="shared" si="11"/>
        <v>0</v>
      </c>
      <c r="K88" s="181">
        <f t="shared" si="7"/>
        <v>0</v>
      </c>
      <c r="L88" s="38"/>
    </row>
    <row r="89" spans="2:12" ht="30" customHeight="1" x14ac:dyDescent="0.3">
      <c r="B89" s="260" t="str">
        <f t="shared" si="4"/>
        <v>ePCR</v>
      </c>
      <c r="C89" s="260">
        <f>IF(ISTEXT(D89),MAX($C$4:$C88)+1,"")</f>
        <v>80</v>
      </c>
      <c r="D89" s="159" t="s">
        <v>41</v>
      </c>
      <c r="E89" s="296" t="s">
        <v>509</v>
      </c>
      <c r="F89" s="176" t="s">
        <v>43</v>
      </c>
      <c r="G89" s="177"/>
      <c r="H89" s="184"/>
      <c r="I89" s="188">
        <f t="shared" si="10"/>
        <v>0</v>
      </c>
      <c r="J89" s="189">
        <f t="shared" si="11"/>
        <v>0</v>
      </c>
      <c r="K89" s="181">
        <f t="shared" si="7"/>
        <v>0</v>
      </c>
      <c r="L89" s="38"/>
    </row>
    <row r="90" spans="2:12" ht="30" customHeight="1" x14ac:dyDescent="0.3">
      <c r="B90" s="260" t="str">
        <f t="shared" si="4"/>
        <v>ePCR</v>
      </c>
      <c r="C90" s="260">
        <f>IF(ISTEXT(D90),MAX($C$4:$C89)+1,"")</f>
        <v>81</v>
      </c>
      <c r="D90" s="159" t="s">
        <v>41</v>
      </c>
      <c r="E90" s="296" t="s">
        <v>510</v>
      </c>
      <c r="F90" s="176" t="s">
        <v>43</v>
      </c>
      <c r="G90" s="177"/>
      <c r="H90" s="184"/>
      <c r="I90" s="188">
        <f t="shared" si="10"/>
        <v>0</v>
      </c>
      <c r="J90" s="189">
        <f t="shared" si="11"/>
        <v>0</v>
      </c>
      <c r="K90" s="181">
        <f t="shared" si="7"/>
        <v>0</v>
      </c>
      <c r="L90" s="38"/>
    </row>
    <row r="91" spans="2:12" ht="30" customHeight="1" x14ac:dyDescent="0.3">
      <c r="B91" s="260" t="str">
        <f t="shared" si="4"/>
        <v>ePCR</v>
      </c>
      <c r="C91" s="260">
        <f>IF(ISTEXT(D91),MAX($C$4:$C90)+1,"")</f>
        <v>82</v>
      </c>
      <c r="D91" s="159" t="s">
        <v>41</v>
      </c>
      <c r="E91" s="296" t="s">
        <v>511</v>
      </c>
      <c r="F91" s="176" t="s">
        <v>43</v>
      </c>
      <c r="G91" s="177"/>
      <c r="H91" s="184"/>
      <c r="I91" s="188">
        <f t="shared" si="10"/>
        <v>0</v>
      </c>
      <c r="J91" s="189">
        <f t="shared" si="11"/>
        <v>0</v>
      </c>
      <c r="K91" s="181">
        <f t="shared" si="7"/>
        <v>0</v>
      </c>
      <c r="L91" s="38"/>
    </row>
    <row r="92" spans="2:12" ht="30" customHeight="1" x14ac:dyDescent="0.3">
      <c r="B92" s="260" t="str">
        <f t="shared" si="4"/>
        <v>ePCR</v>
      </c>
      <c r="C92" s="260">
        <f>IF(ISTEXT(D92),MAX($C$4:$C91)+1,"")</f>
        <v>83</v>
      </c>
      <c r="D92" s="159" t="s">
        <v>41</v>
      </c>
      <c r="E92" s="298" t="s">
        <v>512</v>
      </c>
      <c r="F92" s="176" t="s">
        <v>43</v>
      </c>
      <c r="G92" s="177"/>
      <c r="H92" s="184"/>
      <c r="I92" s="188">
        <f t="shared" si="10"/>
        <v>0</v>
      </c>
      <c r="J92" s="189">
        <f t="shared" si="11"/>
        <v>0</v>
      </c>
      <c r="K92" s="181">
        <f t="shared" si="7"/>
        <v>0</v>
      </c>
      <c r="L92" s="38"/>
    </row>
    <row r="93" spans="2:12" ht="30" customHeight="1" x14ac:dyDescent="0.3">
      <c r="B93" s="260" t="str">
        <f t="shared" si="4"/>
        <v>ePCR</v>
      </c>
      <c r="C93" s="260">
        <f>IF(ISTEXT(D93),MAX($C$4:$C92)+1,"")</f>
        <v>84</v>
      </c>
      <c r="D93" s="159" t="s">
        <v>41</v>
      </c>
      <c r="E93" s="296" t="s">
        <v>513</v>
      </c>
      <c r="F93" s="176" t="s">
        <v>43</v>
      </c>
      <c r="G93" s="177"/>
      <c r="H93" s="184"/>
      <c r="I93" s="188">
        <f t="shared" si="10"/>
        <v>0</v>
      </c>
      <c r="J93" s="189">
        <f t="shared" si="11"/>
        <v>0</v>
      </c>
      <c r="K93" s="181">
        <f t="shared" si="7"/>
        <v>0</v>
      </c>
      <c r="L93" s="38"/>
    </row>
    <row r="94" spans="2:12" ht="30" customHeight="1" x14ac:dyDescent="0.3">
      <c r="B94" s="260" t="str">
        <f t="shared" si="4"/>
        <v>ePCR</v>
      </c>
      <c r="C94" s="260">
        <f>IF(ISTEXT(D94),MAX($C$4:$C93)+1,"")</f>
        <v>85</v>
      </c>
      <c r="D94" s="159" t="s">
        <v>41</v>
      </c>
      <c r="E94" s="298" t="s">
        <v>514</v>
      </c>
      <c r="F94" s="176" t="s">
        <v>43</v>
      </c>
      <c r="G94" s="177"/>
      <c r="H94" s="184"/>
      <c r="I94" s="188">
        <f t="shared" si="10"/>
        <v>0</v>
      </c>
      <c r="J94" s="189">
        <f t="shared" si="11"/>
        <v>0</v>
      </c>
      <c r="K94" s="181">
        <f t="shared" si="7"/>
        <v>0</v>
      </c>
      <c r="L94" s="38"/>
    </row>
    <row r="95" spans="2:12" ht="30" customHeight="1" x14ac:dyDescent="0.3">
      <c r="B95" s="260" t="str">
        <f t="shared" si="4"/>
        <v>ePCR</v>
      </c>
      <c r="C95" s="260">
        <f>IF(ISTEXT(D95),MAX($C$4:$C94)+1,"")</f>
        <v>86</v>
      </c>
      <c r="D95" s="159" t="s">
        <v>41</v>
      </c>
      <c r="E95" s="298" t="s">
        <v>515</v>
      </c>
      <c r="F95" s="176" t="s">
        <v>43</v>
      </c>
      <c r="G95" s="177"/>
      <c r="H95" s="184"/>
      <c r="I95" s="188">
        <f t="shared" si="10"/>
        <v>0</v>
      </c>
      <c r="J95" s="189">
        <f t="shared" si="11"/>
        <v>0</v>
      </c>
      <c r="K95" s="181">
        <f t="shared" si="7"/>
        <v>0</v>
      </c>
      <c r="L95" s="38"/>
    </row>
    <row r="96" spans="2:12" ht="30" customHeight="1" x14ac:dyDescent="0.3">
      <c r="B96" s="260" t="str">
        <f t="shared" si="4"/>
        <v>ePCR</v>
      </c>
      <c r="C96" s="260">
        <f>IF(ISTEXT(D96),MAX($C$4:$C95)+1,"")</f>
        <v>87</v>
      </c>
      <c r="D96" s="159" t="s">
        <v>41</v>
      </c>
      <c r="E96" s="298" t="s">
        <v>516</v>
      </c>
      <c r="F96" s="176" t="s">
        <v>43</v>
      </c>
      <c r="G96" s="177"/>
      <c r="H96" s="184"/>
      <c r="I96" s="188">
        <f t="shared" si="10"/>
        <v>0</v>
      </c>
      <c r="J96" s="189">
        <f t="shared" si="11"/>
        <v>0</v>
      </c>
      <c r="K96" s="181">
        <f t="shared" si="7"/>
        <v>0</v>
      </c>
      <c r="L96" s="38"/>
    </row>
    <row r="97" spans="2:12" ht="30" customHeight="1" x14ac:dyDescent="0.3">
      <c r="B97" s="260" t="str">
        <f t="shared" si="4"/>
        <v>ePCR</v>
      </c>
      <c r="C97" s="260">
        <f>IF(ISTEXT(D97),MAX($C$4:$C96)+1,"")</f>
        <v>88</v>
      </c>
      <c r="D97" s="159" t="s">
        <v>41</v>
      </c>
      <c r="E97" s="298" t="s">
        <v>517</v>
      </c>
      <c r="F97" s="176" t="s">
        <v>43</v>
      </c>
      <c r="G97" s="177"/>
      <c r="H97" s="184"/>
      <c r="I97" s="188">
        <f t="shared" si="10"/>
        <v>0</v>
      </c>
      <c r="J97" s="189">
        <f t="shared" si="11"/>
        <v>0</v>
      </c>
      <c r="K97" s="181">
        <f t="shared" si="7"/>
        <v>0</v>
      </c>
      <c r="L97" s="38"/>
    </row>
    <row r="98" spans="2:12" ht="30" customHeight="1" x14ac:dyDescent="0.3">
      <c r="B98" s="260" t="str">
        <f t="shared" si="4"/>
        <v>ePCR</v>
      </c>
      <c r="C98" s="260">
        <f>IF(ISTEXT(D98),MAX($C$4:$C97)+1,"")</f>
        <v>89</v>
      </c>
      <c r="D98" s="159" t="s">
        <v>41</v>
      </c>
      <c r="E98" s="301" t="s">
        <v>518</v>
      </c>
      <c r="F98" s="176" t="s">
        <v>43</v>
      </c>
      <c r="G98" s="177"/>
      <c r="H98" s="184"/>
      <c r="I98" s="188">
        <f t="shared" si="10"/>
        <v>0</v>
      </c>
      <c r="J98" s="189">
        <f t="shared" si="11"/>
        <v>0</v>
      </c>
      <c r="K98" s="181">
        <f t="shared" si="7"/>
        <v>0</v>
      </c>
      <c r="L98" s="38"/>
    </row>
    <row r="99" spans="2:12" ht="30" customHeight="1" x14ac:dyDescent="0.3">
      <c r="B99" s="260" t="str">
        <f t="shared" si="4"/>
        <v>ePCR</v>
      </c>
      <c r="C99" s="260">
        <f>IF(ISTEXT(D99),MAX($C$4:$C98)+1,"")</f>
        <v>90</v>
      </c>
      <c r="D99" s="159" t="s">
        <v>41</v>
      </c>
      <c r="E99" s="302" t="s">
        <v>519</v>
      </c>
      <c r="F99" s="176" t="s">
        <v>43</v>
      </c>
      <c r="G99" s="177"/>
      <c r="H99" s="184"/>
      <c r="I99" s="188">
        <f t="shared" si="10"/>
        <v>0</v>
      </c>
      <c r="J99" s="189">
        <f t="shared" si="11"/>
        <v>0</v>
      </c>
      <c r="K99" s="181">
        <f t="shared" si="7"/>
        <v>0</v>
      </c>
      <c r="L99" s="38"/>
    </row>
    <row r="100" spans="2:12" ht="30" customHeight="1" x14ac:dyDescent="0.3">
      <c r="B100" s="40" t="str">
        <f>IF(C100="","",$B$4)</f>
        <v/>
      </c>
      <c r="C100" s="40"/>
      <c r="D100" s="3"/>
      <c r="E100" s="303" t="s">
        <v>520</v>
      </c>
      <c r="F100" s="115"/>
      <c r="G100" s="31"/>
      <c r="H100" s="31"/>
      <c r="I100" s="31"/>
      <c r="J100" s="31"/>
      <c r="K100" s="181"/>
      <c r="L100" s="31"/>
    </row>
    <row r="101" spans="2:12" ht="30" customHeight="1" x14ac:dyDescent="0.3">
      <c r="B101" s="260" t="str">
        <f t="shared" si="4"/>
        <v>ePCR</v>
      </c>
      <c r="C101" s="260">
        <f>IF(ISTEXT(D101),MAX($C$4:$C100)+1,"")</f>
        <v>91</v>
      </c>
      <c r="D101" s="159" t="s">
        <v>41</v>
      </c>
      <c r="E101" s="298" t="s">
        <v>521</v>
      </c>
      <c r="F101" s="176" t="s">
        <v>43</v>
      </c>
      <c r="G101" s="177"/>
      <c r="H101" s="184"/>
      <c r="I101" s="188">
        <f t="shared" ref="I101:I132" si="12">VLOOKUP($D101,SpecData,2,FALSE)</f>
        <v>0</v>
      </c>
      <c r="J101" s="189">
        <f t="shared" ref="J101:J132" si="13">VLOOKUP($F101,AvailabilityData,2,FALSE)</f>
        <v>0</v>
      </c>
      <c r="K101" s="181">
        <f t="shared" si="7"/>
        <v>0</v>
      </c>
      <c r="L101" s="38"/>
    </row>
    <row r="102" spans="2:12" ht="30" customHeight="1" x14ac:dyDescent="0.3">
      <c r="B102" s="260" t="str">
        <f t="shared" si="4"/>
        <v>ePCR</v>
      </c>
      <c r="C102" s="260">
        <f>IF(ISTEXT(D102),MAX($C$4:$C101)+1,"")</f>
        <v>92</v>
      </c>
      <c r="D102" s="159" t="s">
        <v>41</v>
      </c>
      <c r="E102" s="298" t="s">
        <v>522</v>
      </c>
      <c r="F102" s="176" t="s">
        <v>43</v>
      </c>
      <c r="G102" s="177"/>
      <c r="H102" s="184"/>
      <c r="I102" s="188">
        <f t="shared" si="12"/>
        <v>0</v>
      </c>
      <c r="J102" s="189">
        <f t="shared" si="13"/>
        <v>0</v>
      </c>
      <c r="K102" s="181">
        <f t="shared" si="7"/>
        <v>0</v>
      </c>
      <c r="L102" s="38"/>
    </row>
    <row r="103" spans="2:12" ht="30" customHeight="1" x14ac:dyDescent="0.3">
      <c r="B103" s="260" t="str">
        <f t="shared" si="4"/>
        <v>ePCR</v>
      </c>
      <c r="C103" s="260">
        <f>IF(ISTEXT(D103),MAX($C$4:$C102)+1,"")</f>
        <v>93</v>
      </c>
      <c r="D103" s="159" t="s">
        <v>41</v>
      </c>
      <c r="E103" s="298" t="s">
        <v>523</v>
      </c>
      <c r="F103" s="176" t="s">
        <v>43</v>
      </c>
      <c r="G103" s="177"/>
      <c r="H103" s="184"/>
      <c r="I103" s="188">
        <f t="shared" si="12"/>
        <v>0</v>
      </c>
      <c r="J103" s="189">
        <f t="shared" si="13"/>
        <v>0</v>
      </c>
      <c r="K103" s="181">
        <f t="shared" si="7"/>
        <v>0</v>
      </c>
      <c r="L103" s="38"/>
    </row>
    <row r="104" spans="2:12" ht="30" customHeight="1" x14ac:dyDescent="0.3">
      <c r="B104" s="260" t="str">
        <f t="shared" si="4"/>
        <v>ePCR</v>
      </c>
      <c r="C104" s="260">
        <f>IF(ISTEXT(D104),MAX($C$4:$C103)+1,"")</f>
        <v>94</v>
      </c>
      <c r="D104" s="159" t="s">
        <v>41</v>
      </c>
      <c r="E104" s="298" t="s">
        <v>524</v>
      </c>
      <c r="F104" s="176" t="s">
        <v>43</v>
      </c>
      <c r="G104" s="177"/>
      <c r="H104" s="184"/>
      <c r="I104" s="188">
        <f t="shared" si="12"/>
        <v>0</v>
      </c>
      <c r="J104" s="189">
        <f t="shared" si="13"/>
        <v>0</v>
      </c>
      <c r="K104" s="181">
        <f t="shared" si="7"/>
        <v>0</v>
      </c>
      <c r="L104" s="38"/>
    </row>
    <row r="105" spans="2:12" ht="30" customHeight="1" x14ac:dyDescent="0.3">
      <c r="B105" s="260" t="str">
        <f t="shared" si="4"/>
        <v>ePCR</v>
      </c>
      <c r="C105" s="260">
        <f>IF(ISTEXT(D105),MAX($C$4:$C104)+1,"")</f>
        <v>95</v>
      </c>
      <c r="D105" s="159" t="s">
        <v>41</v>
      </c>
      <c r="E105" s="298" t="s">
        <v>525</v>
      </c>
      <c r="F105" s="176" t="s">
        <v>43</v>
      </c>
      <c r="G105" s="177"/>
      <c r="H105" s="184"/>
      <c r="I105" s="188">
        <f t="shared" si="12"/>
        <v>0</v>
      </c>
      <c r="J105" s="189">
        <f t="shared" si="13"/>
        <v>0</v>
      </c>
      <c r="K105" s="181">
        <f t="shared" si="7"/>
        <v>0</v>
      </c>
      <c r="L105" s="38"/>
    </row>
    <row r="106" spans="2:12" ht="30" customHeight="1" x14ac:dyDescent="0.3">
      <c r="B106" s="260" t="str">
        <f t="shared" si="4"/>
        <v>ePCR</v>
      </c>
      <c r="C106" s="260">
        <f>IF(ISTEXT(D106),MAX($C$4:$C105)+1,"")</f>
        <v>96</v>
      </c>
      <c r="D106" s="159" t="s">
        <v>41</v>
      </c>
      <c r="E106" s="301" t="s">
        <v>526</v>
      </c>
      <c r="F106" s="176" t="s">
        <v>43</v>
      </c>
      <c r="G106" s="177"/>
      <c r="H106" s="184"/>
      <c r="I106" s="188">
        <f t="shared" si="12"/>
        <v>0</v>
      </c>
      <c r="J106" s="189">
        <f t="shared" si="13"/>
        <v>0</v>
      </c>
      <c r="K106" s="181">
        <f t="shared" si="7"/>
        <v>0</v>
      </c>
      <c r="L106" s="38"/>
    </row>
    <row r="107" spans="2:12" ht="30" customHeight="1" x14ac:dyDescent="0.3">
      <c r="B107" s="260" t="str">
        <f t="shared" si="4"/>
        <v>ePCR</v>
      </c>
      <c r="C107" s="260">
        <f>IF(ISTEXT(D107),MAX($C$4:$C106)+1,"")</f>
        <v>97</v>
      </c>
      <c r="D107" s="159" t="s">
        <v>41</v>
      </c>
      <c r="E107" s="304" t="s">
        <v>527</v>
      </c>
      <c r="F107" s="176" t="s">
        <v>43</v>
      </c>
      <c r="G107" s="177"/>
      <c r="H107" s="184"/>
      <c r="I107" s="188">
        <f t="shared" si="12"/>
        <v>0</v>
      </c>
      <c r="J107" s="189">
        <f t="shared" si="13"/>
        <v>0</v>
      </c>
      <c r="K107" s="181">
        <f t="shared" si="7"/>
        <v>0</v>
      </c>
      <c r="L107" s="38"/>
    </row>
    <row r="108" spans="2:12" ht="30" customHeight="1" x14ac:dyDescent="0.3">
      <c r="B108" s="260" t="str">
        <f t="shared" si="4"/>
        <v>ePCR</v>
      </c>
      <c r="C108" s="260">
        <f>IF(ISTEXT(D108),MAX($C$4:$C107)+1,"")</f>
        <v>98</v>
      </c>
      <c r="D108" s="159" t="s">
        <v>41</v>
      </c>
      <c r="E108" s="305" t="s">
        <v>528</v>
      </c>
      <c r="F108" s="176" t="s">
        <v>43</v>
      </c>
      <c r="G108" s="177"/>
      <c r="H108" s="184"/>
      <c r="I108" s="188">
        <f t="shared" si="12"/>
        <v>0</v>
      </c>
      <c r="J108" s="189">
        <f t="shared" si="13"/>
        <v>0</v>
      </c>
      <c r="K108" s="181">
        <f t="shared" si="7"/>
        <v>0</v>
      </c>
      <c r="L108" s="38"/>
    </row>
    <row r="109" spans="2:12" ht="30" customHeight="1" x14ac:dyDescent="0.3">
      <c r="B109" s="260" t="str">
        <f t="shared" si="4"/>
        <v>ePCR</v>
      </c>
      <c r="C109" s="260">
        <f>IF(ISTEXT(D109),MAX($C$4:$C108)+1,"")</f>
        <v>99</v>
      </c>
      <c r="D109" s="159" t="s">
        <v>41</v>
      </c>
      <c r="E109" s="306" t="s">
        <v>529</v>
      </c>
      <c r="F109" s="176" t="s">
        <v>43</v>
      </c>
      <c r="G109" s="177"/>
      <c r="H109" s="184"/>
      <c r="I109" s="188">
        <f t="shared" si="12"/>
        <v>0</v>
      </c>
      <c r="J109" s="189">
        <f t="shared" si="13"/>
        <v>0</v>
      </c>
      <c r="K109" s="181">
        <f t="shared" si="7"/>
        <v>0</v>
      </c>
      <c r="L109" s="38"/>
    </row>
    <row r="110" spans="2:12" ht="30" customHeight="1" x14ac:dyDescent="0.3">
      <c r="B110" s="260" t="str">
        <f t="shared" si="4"/>
        <v>ePCR</v>
      </c>
      <c r="C110" s="260">
        <f>IF(ISTEXT(D110),MAX($C$4:$C109)+1,"")</f>
        <v>100</v>
      </c>
      <c r="D110" s="159" t="s">
        <v>41</v>
      </c>
      <c r="E110" s="306" t="s">
        <v>530</v>
      </c>
      <c r="F110" s="176" t="s">
        <v>43</v>
      </c>
      <c r="G110" s="177"/>
      <c r="H110" s="184"/>
      <c r="I110" s="188">
        <f t="shared" si="12"/>
        <v>0</v>
      </c>
      <c r="J110" s="189">
        <f t="shared" si="13"/>
        <v>0</v>
      </c>
      <c r="K110" s="181">
        <f t="shared" si="7"/>
        <v>0</v>
      </c>
      <c r="L110" s="38"/>
    </row>
    <row r="111" spans="2:12" ht="30" customHeight="1" x14ac:dyDescent="0.3">
      <c r="B111" s="260" t="str">
        <f t="shared" si="4"/>
        <v>ePCR</v>
      </c>
      <c r="C111" s="260">
        <f>IF(ISTEXT(D111),MAX($C$4:$C110)+1,"")</f>
        <v>101</v>
      </c>
      <c r="D111" s="159" t="s">
        <v>41</v>
      </c>
      <c r="E111" s="306" t="s">
        <v>531</v>
      </c>
      <c r="F111" s="176" t="s">
        <v>43</v>
      </c>
      <c r="G111" s="177"/>
      <c r="H111" s="184"/>
      <c r="I111" s="188">
        <f t="shared" si="12"/>
        <v>0</v>
      </c>
      <c r="J111" s="189">
        <f t="shared" si="13"/>
        <v>0</v>
      </c>
      <c r="K111" s="181">
        <f t="shared" si="7"/>
        <v>0</v>
      </c>
      <c r="L111" s="38"/>
    </row>
    <row r="112" spans="2:12" ht="30" customHeight="1" x14ac:dyDescent="0.3">
      <c r="B112" s="260" t="str">
        <f t="shared" si="4"/>
        <v>ePCR</v>
      </c>
      <c r="C112" s="260">
        <f>IF(ISTEXT(D112),MAX($C$4:$C111)+1,"")</f>
        <v>102</v>
      </c>
      <c r="D112" s="159" t="s">
        <v>41</v>
      </c>
      <c r="E112" s="307" t="s">
        <v>532</v>
      </c>
      <c r="F112" s="176" t="s">
        <v>43</v>
      </c>
      <c r="G112" s="177"/>
      <c r="H112" s="184"/>
      <c r="I112" s="188">
        <f t="shared" si="12"/>
        <v>0</v>
      </c>
      <c r="J112" s="189">
        <f t="shared" si="13"/>
        <v>0</v>
      </c>
      <c r="K112" s="181">
        <f t="shared" si="7"/>
        <v>0</v>
      </c>
      <c r="L112" s="38"/>
    </row>
    <row r="113" spans="2:12" ht="30" customHeight="1" x14ac:dyDescent="0.3">
      <c r="B113" s="260" t="str">
        <f t="shared" si="4"/>
        <v>ePCR</v>
      </c>
      <c r="C113" s="260">
        <f>IF(ISTEXT(D113),MAX($C$4:$C112)+1,"")</f>
        <v>103</v>
      </c>
      <c r="D113" s="159" t="s">
        <v>41</v>
      </c>
      <c r="E113" s="296" t="s">
        <v>533</v>
      </c>
      <c r="F113" s="176" t="s">
        <v>43</v>
      </c>
      <c r="G113" s="177"/>
      <c r="H113" s="184"/>
      <c r="I113" s="188">
        <f t="shared" si="12"/>
        <v>0</v>
      </c>
      <c r="J113" s="189">
        <f t="shared" si="13"/>
        <v>0</v>
      </c>
      <c r="K113" s="181">
        <f t="shared" si="7"/>
        <v>0</v>
      </c>
      <c r="L113" s="38"/>
    </row>
    <row r="114" spans="2:12" ht="30" customHeight="1" x14ac:dyDescent="0.3">
      <c r="B114" s="260" t="str">
        <f t="shared" si="4"/>
        <v>ePCR</v>
      </c>
      <c r="C114" s="260">
        <f>IF(ISTEXT(D114),MAX($C$4:$C113)+1,"")</f>
        <v>104</v>
      </c>
      <c r="D114" s="159" t="s">
        <v>41</v>
      </c>
      <c r="E114" s="306" t="s">
        <v>534</v>
      </c>
      <c r="F114" s="176" t="s">
        <v>43</v>
      </c>
      <c r="G114" s="177"/>
      <c r="H114" s="184"/>
      <c r="I114" s="188">
        <f t="shared" si="12"/>
        <v>0</v>
      </c>
      <c r="J114" s="189">
        <f t="shared" si="13"/>
        <v>0</v>
      </c>
      <c r="K114" s="181">
        <f t="shared" si="7"/>
        <v>0</v>
      </c>
      <c r="L114" s="38"/>
    </row>
    <row r="115" spans="2:12" ht="30" customHeight="1" x14ac:dyDescent="0.3">
      <c r="B115" s="260" t="str">
        <f t="shared" si="4"/>
        <v>ePCR</v>
      </c>
      <c r="C115" s="260">
        <f>IF(ISTEXT(D115),MAX($C$4:$C114)+1,"")</f>
        <v>105</v>
      </c>
      <c r="D115" s="159" t="s">
        <v>41</v>
      </c>
      <c r="E115" s="306" t="s">
        <v>535</v>
      </c>
      <c r="F115" s="176" t="s">
        <v>43</v>
      </c>
      <c r="G115" s="177"/>
      <c r="H115" s="184"/>
      <c r="I115" s="188">
        <f t="shared" si="12"/>
        <v>0</v>
      </c>
      <c r="J115" s="189">
        <f t="shared" si="13"/>
        <v>0</v>
      </c>
      <c r="K115" s="181">
        <f t="shared" si="7"/>
        <v>0</v>
      </c>
      <c r="L115" s="38"/>
    </row>
    <row r="116" spans="2:12" ht="30" customHeight="1" x14ac:dyDescent="0.3">
      <c r="B116" s="260" t="str">
        <f t="shared" si="4"/>
        <v>ePCR</v>
      </c>
      <c r="C116" s="260">
        <f>IF(ISTEXT(D116),MAX($C$4:$C115)+1,"")</f>
        <v>106</v>
      </c>
      <c r="D116" s="159" t="s">
        <v>41</v>
      </c>
      <c r="E116" s="308" t="s">
        <v>536</v>
      </c>
      <c r="F116" s="176" t="s">
        <v>43</v>
      </c>
      <c r="G116" s="177"/>
      <c r="H116" s="184"/>
      <c r="I116" s="188">
        <f t="shared" si="12"/>
        <v>0</v>
      </c>
      <c r="J116" s="189">
        <f t="shared" si="13"/>
        <v>0</v>
      </c>
      <c r="K116" s="181">
        <f t="shared" si="7"/>
        <v>0</v>
      </c>
      <c r="L116" s="38"/>
    </row>
    <row r="117" spans="2:12" ht="30" customHeight="1" x14ac:dyDescent="0.3">
      <c r="B117" s="260" t="str">
        <f t="shared" si="4"/>
        <v>ePCR</v>
      </c>
      <c r="C117" s="260">
        <f>IF(ISTEXT(D117),MAX($C$4:$C116)+1,"")</f>
        <v>107</v>
      </c>
      <c r="D117" s="159" t="s">
        <v>41</v>
      </c>
      <c r="E117" s="306" t="s">
        <v>362</v>
      </c>
      <c r="F117" s="176" t="s">
        <v>43</v>
      </c>
      <c r="G117" s="177"/>
      <c r="H117" s="184"/>
      <c r="I117" s="188">
        <f t="shared" si="12"/>
        <v>0</v>
      </c>
      <c r="J117" s="189">
        <f t="shared" si="13"/>
        <v>0</v>
      </c>
      <c r="K117" s="181">
        <f t="shared" si="7"/>
        <v>0</v>
      </c>
      <c r="L117" s="38"/>
    </row>
    <row r="118" spans="2:12" ht="30" customHeight="1" x14ac:dyDescent="0.3">
      <c r="B118" s="260" t="str">
        <f t="shared" si="4"/>
        <v>ePCR</v>
      </c>
      <c r="C118" s="260">
        <f>IF(ISTEXT(D118),MAX($C$4:$C117)+1,"")</f>
        <v>108</v>
      </c>
      <c r="D118" s="159" t="s">
        <v>41</v>
      </c>
      <c r="E118" s="306" t="s">
        <v>537</v>
      </c>
      <c r="F118" s="176" t="s">
        <v>43</v>
      </c>
      <c r="G118" s="177"/>
      <c r="H118" s="184"/>
      <c r="I118" s="188">
        <f t="shared" si="12"/>
        <v>0</v>
      </c>
      <c r="J118" s="189">
        <f t="shared" si="13"/>
        <v>0</v>
      </c>
      <c r="K118" s="181">
        <f t="shared" si="7"/>
        <v>0</v>
      </c>
      <c r="L118" s="38"/>
    </row>
    <row r="119" spans="2:12" ht="30" customHeight="1" x14ac:dyDescent="0.3">
      <c r="B119" s="260" t="str">
        <f t="shared" si="4"/>
        <v>ePCR</v>
      </c>
      <c r="C119" s="260">
        <f>IF(ISTEXT(D119),MAX($C$4:$C118)+1,"")</f>
        <v>109</v>
      </c>
      <c r="D119" s="159" t="s">
        <v>41</v>
      </c>
      <c r="E119" s="306" t="s">
        <v>538</v>
      </c>
      <c r="F119" s="176" t="s">
        <v>43</v>
      </c>
      <c r="G119" s="177"/>
      <c r="H119" s="184"/>
      <c r="I119" s="188">
        <f t="shared" si="12"/>
        <v>0</v>
      </c>
      <c r="J119" s="189">
        <f t="shared" si="13"/>
        <v>0</v>
      </c>
      <c r="K119" s="181">
        <f t="shared" si="7"/>
        <v>0</v>
      </c>
      <c r="L119" s="38"/>
    </row>
    <row r="120" spans="2:12" ht="30" customHeight="1" x14ac:dyDescent="0.3">
      <c r="B120" s="260" t="str">
        <f t="shared" si="4"/>
        <v>ePCR</v>
      </c>
      <c r="C120" s="260">
        <f>IF(ISTEXT(D120),MAX($C$4:$C119)+1,"")</f>
        <v>110</v>
      </c>
      <c r="D120" s="159" t="s">
        <v>41</v>
      </c>
      <c r="E120" s="306" t="s">
        <v>539</v>
      </c>
      <c r="F120" s="176" t="s">
        <v>43</v>
      </c>
      <c r="G120" s="177"/>
      <c r="H120" s="184"/>
      <c r="I120" s="188">
        <f t="shared" si="12"/>
        <v>0</v>
      </c>
      <c r="J120" s="189">
        <f t="shared" si="13"/>
        <v>0</v>
      </c>
      <c r="K120" s="181">
        <f t="shared" si="7"/>
        <v>0</v>
      </c>
      <c r="L120" s="38"/>
    </row>
    <row r="121" spans="2:12" ht="30" customHeight="1" x14ac:dyDescent="0.3">
      <c r="B121" s="260" t="str">
        <f t="shared" si="4"/>
        <v>ePCR</v>
      </c>
      <c r="C121" s="260">
        <f>IF(ISTEXT(D121),MAX($C$4:$C120)+1,"")</f>
        <v>111</v>
      </c>
      <c r="D121" s="159" t="s">
        <v>41</v>
      </c>
      <c r="E121" s="306" t="s">
        <v>540</v>
      </c>
      <c r="F121" s="176" t="s">
        <v>43</v>
      </c>
      <c r="G121" s="177"/>
      <c r="H121" s="184"/>
      <c r="I121" s="188">
        <f t="shared" si="12"/>
        <v>0</v>
      </c>
      <c r="J121" s="189">
        <f t="shared" si="13"/>
        <v>0</v>
      </c>
      <c r="K121" s="181">
        <f t="shared" si="7"/>
        <v>0</v>
      </c>
      <c r="L121" s="38"/>
    </row>
    <row r="122" spans="2:12" ht="30" customHeight="1" x14ac:dyDescent="0.3">
      <c r="B122" s="260" t="str">
        <f t="shared" si="4"/>
        <v>ePCR</v>
      </c>
      <c r="C122" s="260">
        <f>IF(ISTEXT(D122),MAX($C$4:$C121)+1,"")</f>
        <v>112</v>
      </c>
      <c r="D122" s="159" t="s">
        <v>41</v>
      </c>
      <c r="E122" s="306" t="s">
        <v>541</v>
      </c>
      <c r="F122" s="176" t="s">
        <v>43</v>
      </c>
      <c r="G122" s="177"/>
      <c r="H122" s="184"/>
      <c r="I122" s="188">
        <f t="shared" si="12"/>
        <v>0</v>
      </c>
      <c r="J122" s="189">
        <f t="shared" si="13"/>
        <v>0</v>
      </c>
      <c r="K122" s="181">
        <f t="shared" si="7"/>
        <v>0</v>
      </c>
      <c r="L122" s="38"/>
    </row>
    <row r="123" spans="2:12" ht="30" customHeight="1" x14ac:dyDescent="0.3">
      <c r="B123" s="260" t="str">
        <f t="shared" si="4"/>
        <v>ePCR</v>
      </c>
      <c r="C123" s="260">
        <f>IF(ISTEXT(D123),MAX($C$4:$C122)+1,"")</f>
        <v>113</v>
      </c>
      <c r="D123" s="159" t="s">
        <v>41</v>
      </c>
      <c r="E123" s="306" t="s">
        <v>40</v>
      </c>
      <c r="F123" s="176" t="s">
        <v>43</v>
      </c>
      <c r="G123" s="177"/>
      <c r="H123" s="184"/>
      <c r="I123" s="188">
        <f t="shared" si="12"/>
        <v>0</v>
      </c>
      <c r="J123" s="189">
        <f t="shared" si="13"/>
        <v>0</v>
      </c>
      <c r="K123" s="181">
        <f t="shared" si="7"/>
        <v>0</v>
      </c>
      <c r="L123" s="38"/>
    </row>
    <row r="124" spans="2:12" ht="30" customHeight="1" x14ac:dyDescent="0.3">
      <c r="B124" s="260" t="str">
        <f t="shared" si="4"/>
        <v>ePCR</v>
      </c>
      <c r="C124" s="260">
        <f>IF(ISTEXT(D124),MAX($C$4:$C123)+1,"")</f>
        <v>114</v>
      </c>
      <c r="D124" s="159" t="s">
        <v>41</v>
      </c>
      <c r="E124" s="296" t="s">
        <v>542</v>
      </c>
      <c r="F124" s="176" t="s">
        <v>43</v>
      </c>
      <c r="G124" s="177"/>
      <c r="H124" s="184"/>
      <c r="I124" s="188">
        <f t="shared" si="12"/>
        <v>0</v>
      </c>
      <c r="J124" s="189">
        <f t="shared" si="13"/>
        <v>0</v>
      </c>
      <c r="K124" s="181">
        <f t="shared" si="7"/>
        <v>0</v>
      </c>
      <c r="L124" s="38"/>
    </row>
    <row r="125" spans="2:12" ht="30" customHeight="1" x14ac:dyDescent="0.3">
      <c r="B125" s="260" t="str">
        <f t="shared" si="4"/>
        <v>ePCR</v>
      </c>
      <c r="C125" s="260">
        <f>IF(ISTEXT(D125),MAX($C$4:$C124)+1,"")</f>
        <v>115</v>
      </c>
      <c r="D125" s="159" t="s">
        <v>41</v>
      </c>
      <c r="E125" s="296" t="s">
        <v>543</v>
      </c>
      <c r="F125" s="176" t="s">
        <v>43</v>
      </c>
      <c r="G125" s="177"/>
      <c r="H125" s="184"/>
      <c r="I125" s="188">
        <f t="shared" si="12"/>
        <v>0</v>
      </c>
      <c r="J125" s="189">
        <f t="shared" si="13"/>
        <v>0</v>
      </c>
      <c r="K125" s="181">
        <f t="shared" si="7"/>
        <v>0</v>
      </c>
      <c r="L125" s="38"/>
    </row>
    <row r="126" spans="2:12" ht="30" customHeight="1" x14ac:dyDescent="0.3">
      <c r="B126" s="260" t="str">
        <f t="shared" si="4"/>
        <v>ePCR</v>
      </c>
      <c r="C126" s="260">
        <f>IF(ISTEXT(D126),MAX($C$4:$C125)+1,"")</f>
        <v>116</v>
      </c>
      <c r="D126" s="159" t="s">
        <v>41</v>
      </c>
      <c r="E126" s="296" t="s">
        <v>544</v>
      </c>
      <c r="F126" s="176" t="s">
        <v>43</v>
      </c>
      <c r="G126" s="177"/>
      <c r="H126" s="184"/>
      <c r="I126" s="188">
        <f t="shared" si="12"/>
        <v>0</v>
      </c>
      <c r="J126" s="189">
        <f t="shared" si="13"/>
        <v>0</v>
      </c>
      <c r="K126" s="181">
        <f t="shared" si="7"/>
        <v>0</v>
      </c>
      <c r="L126" s="38"/>
    </row>
    <row r="127" spans="2:12" ht="30" customHeight="1" x14ac:dyDescent="0.3">
      <c r="B127" s="260" t="str">
        <f t="shared" si="4"/>
        <v>ePCR</v>
      </c>
      <c r="C127" s="260">
        <f>IF(ISTEXT(D127),MAX($C$4:$C126)+1,"")</f>
        <v>117</v>
      </c>
      <c r="D127" s="159" t="s">
        <v>41</v>
      </c>
      <c r="E127" s="296" t="s">
        <v>545</v>
      </c>
      <c r="F127" s="176" t="s">
        <v>43</v>
      </c>
      <c r="G127" s="177"/>
      <c r="H127" s="184"/>
      <c r="I127" s="188">
        <f t="shared" si="12"/>
        <v>0</v>
      </c>
      <c r="J127" s="189">
        <f t="shared" si="13"/>
        <v>0</v>
      </c>
      <c r="K127" s="181">
        <f t="shared" si="7"/>
        <v>0</v>
      </c>
      <c r="L127" s="38"/>
    </row>
    <row r="128" spans="2:12" ht="30" customHeight="1" x14ac:dyDescent="0.3">
      <c r="B128" s="260" t="str">
        <f t="shared" si="4"/>
        <v>ePCR</v>
      </c>
      <c r="C128" s="260">
        <f>IF(ISTEXT(D128),MAX($C$4:$C127)+1,"")</f>
        <v>118</v>
      </c>
      <c r="D128" s="159" t="s">
        <v>41</v>
      </c>
      <c r="E128" s="296" t="s">
        <v>546</v>
      </c>
      <c r="F128" s="176" t="s">
        <v>43</v>
      </c>
      <c r="G128" s="177"/>
      <c r="H128" s="184"/>
      <c r="I128" s="188">
        <f t="shared" si="12"/>
        <v>0</v>
      </c>
      <c r="J128" s="189">
        <f t="shared" si="13"/>
        <v>0</v>
      </c>
      <c r="K128" s="181">
        <f t="shared" si="7"/>
        <v>0</v>
      </c>
      <c r="L128" s="38"/>
    </row>
    <row r="129" spans="2:12" ht="30" customHeight="1" x14ac:dyDescent="0.3">
      <c r="B129" s="260" t="str">
        <f t="shared" si="4"/>
        <v>ePCR</v>
      </c>
      <c r="C129" s="260">
        <f>IF(ISTEXT(D129),MAX($C$4:$C128)+1,"")</f>
        <v>119</v>
      </c>
      <c r="D129" s="159" t="s">
        <v>41</v>
      </c>
      <c r="E129" s="296" t="s">
        <v>547</v>
      </c>
      <c r="F129" s="176" t="s">
        <v>43</v>
      </c>
      <c r="G129" s="177"/>
      <c r="H129" s="184"/>
      <c r="I129" s="188">
        <f t="shared" si="12"/>
        <v>0</v>
      </c>
      <c r="J129" s="189">
        <f t="shared" si="13"/>
        <v>0</v>
      </c>
      <c r="K129" s="181">
        <f t="shared" si="7"/>
        <v>0</v>
      </c>
      <c r="L129" s="38"/>
    </row>
    <row r="130" spans="2:12" ht="30" customHeight="1" x14ac:dyDescent="0.3">
      <c r="B130" s="260" t="str">
        <f t="shared" si="4"/>
        <v>ePCR</v>
      </c>
      <c r="C130" s="260">
        <f>IF(ISTEXT(D130),MAX($C$4:$C129)+1,"")</f>
        <v>120</v>
      </c>
      <c r="D130" s="159" t="s">
        <v>41</v>
      </c>
      <c r="E130" s="296" t="s">
        <v>548</v>
      </c>
      <c r="F130" s="176" t="s">
        <v>43</v>
      </c>
      <c r="G130" s="177"/>
      <c r="H130" s="184"/>
      <c r="I130" s="188">
        <f t="shared" si="12"/>
        <v>0</v>
      </c>
      <c r="J130" s="189">
        <f t="shared" si="13"/>
        <v>0</v>
      </c>
      <c r="K130" s="181">
        <f t="shared" si="7"/>
        <v>0</v>
      </c>
      <c r="L130" s="38"/>
    </row>
    <row r="131" spans="2:12" ht="30" customHeight="1" x14ac:dyDescent="0.3">
      <c r="B131" s="260" t="str">
        <f t="shared" si="4"/>
        <v>ePCR</v>
      </c>
      <c r="C131" s="260">
        <f>IF(ISTEXT(D131),MAX($C$4:$C130)+1,"")</f>
        <v>121</v>
      </c>
      <c r="D131" s="159" t="s">
        <v>41</v>
      </c>
      <c r="E131" s="296" t="s">
        <v>549</v>
      </c>
      <c r="F131" s="176" t="s">
        <v>43</v>
      </c>
      <c r="G131" s="177"/>
      <c r="H131" s="184"/>
      <c r="I131" s="188">
        <f t="shared" si="12"/>
        <v>0</v>
      </c>
      <c r="J131" s="189">
        <f t="shared" si="13"/>
        <v>0</v>
      </c>
      <c r="K131" s="181">
        <f t="shared" si="7"/>
        <v>0</v>
      </c>
      <c r="L131" s="38"/>
    </row>
    <row r="132" spans="2:12" ht="30" customHeight="1" x14ac:dyDescent="0.3">
      <c r="B132" s="260" t="str">
        <f t="shared" si="4"/>
        <v>ePCR</v>
      </c>
      <c r="C132" s="260">
        <f>IF(ISTEXT(D132),MAX($C$4:$C131)+1,"")</f>
        <v>122</v>
      </c>
      <c r="D132" s="159" t="s">
        <v>41</v>
      </c>
      <c r="E132" s="296" t="s">
        <v>550</v>
      </c>
      <c r="F132" s="176" t="s">
        <v>43</v>
      </c>
      <c r="G132" s="177"/>
      <c r="H132" s="184"/>
      <c r="I132" s="188">
        <f t="shared" si="12"/>
        <v>0</v>
      </c>
      <c r="J132" s="189">
        <f t="shared" si="13"/>
        <v>0</v>
      </c>
      <c r="K132" s="181">
        <f t="shared" si="7"/>
        <v>0</v>
      </c>
      <c r="L132" s="38"/>
    </row>
    <row r="133" spans="2:12" ht="30" customHeight="1" x14ac:dyDescent="0.3">
      <c r="B133" s="260" t="str">
        <f t="shared" si="4"/>
        <v>ePCR</v>
      </c>
      <c r="C133" s="260">
        <f>IF(ISTEXT(D133),MAX($C$4:$C132)+1,"")</f>
        <v>123</v>
      </c>
      <c r="D133" s="159" t="s">
        <v>41</v>
      </c>
      <c r="E133" s="299" t="s">
        <v>551</v>
      </c>
      <c r="F133" s="176" t="s">
        <v>43</v>
      </c>
      <c r="G133" s="177"/>
      <c r="H133" s="184"/>
      <c r="I133" s="188">
        <f t="shared" ref="I133:I166" si="14">VLOOKUP($D133,SpecData,2,FALSE)</f>
        <v>0</v>
      </c>
      <c r="J133" s="189">
        <f t="shared" ref="J133:J166" si="15">VLOOKUP($F133,AvailabilityData,2,FALSE)</f>
        <v>0</v>
      </c>
      <c r="K133" s="181">
        <f t="shared" ref="K133:K196" si="16">I133*J133</f>
        <v>0</v>
      </c>
      <c r="L133" s="38"/>
    </row>
    <row r="134" spans="2:12" ht="30" customHeight="1" x14ac:dyDescent="0.3">
      <c r="B134" s="260" t="str">
        <f t="shared" si="4"/>
        <v>ePCR</v>
      </c>
      <c r="C134" s="260">
        <f>IF(ISTEXT(D134),MAX($C$4:$C133)+1,"")</f>
        <v>124</v>
      </c>
      <c r="D134" s="159" t="s">
        <v>41</v>
      </c>
      <c r="E134" s="296" t="s">
        <v>552</v>
      </c>
      <c r="F134" s="176" t="s">
        <v>43</v>
      </c>
      <c r="G134" s="177"/>
      <c r="H134" s="184"/>
      <c r="I134" s="188">
        <f t="shared" si="14"/>
        <v>0</v>
      </c>
      <c r="J134" s="189">
        <f t="shared" si="15"/>
        <v>0</v>
      </c>
      <c r="K134" s="181">
        <f t="shared" si="16"/>
        <v>0</v>
      </c>
      <c r="L134" s="38"/>
    </row>
    <row r="135" spans="2:12" ht="30" customHeight="1" x14ac:dyDescent="0.3">
      <c r="B135" s="260" t="str">
        <f t="shared" si="4"/>
        <v>ePCR</v>
      </c>
      <c r="C135" s="260">
        <f>IF(ISTEXT(D135),MAX($C$4:$C134)+1,"")</f>
        <v>125</v>
      </c>
      <c r="D135" s="159" t="s">
        <v>41</v>
      </c>
      <c r="E135" s="306" t="s">
        <v>553</v>
      </c>
      <c r="F135" s="176" t="s">
        <v>43</v>
      </c>
      <c r="G135" s="177"/>
      <c r="H135" s="184"/>
      <c r="I135" s="188">
        <f t="shared" si="14"/>
        <v>0</v>
      </c>
      <c r="J135" s="189">
        <f t="shared" si="15"/>
        <v>0</v>
      </c>
      <c r="K135" s="181">
        <f t="shared" si="16"/>
        <v>0</v>
      </c>
      <c r="L135" s="38"/>
    </row>
    <row r="136" spans="2:12" ht="30" customHeight="1" x14ac:dyDescent="0.3">
      <c r="B136" s="260" t="str">
        <f t="shared" si="4"/>
        <v>ePCR</v>
      </c>
      <c r="C136" s="260">
        <f>IF(ISTEXT(D136),MAX($C$4:$C135)+1,"")</f>
        <v>126</v>
      </c>
      <c r="D136" s="159" t="s">
        <v>41</v>
      </c>
      <c r="E136" s="306" t="s">
        <v>554</v>
      </c>
      <c r="F136" s="176" t="s">
        <v>43</v>
      </c>
      <c r="G136" s="177"/>
      <c r="H136" s="184"/>
      <c r="I136" s="188">
        <f t="shared" si="14"/>
        <v>0</v>
      </c>
      <c r="J136" s="189">
        <f t="shared" si="15"/>
        <v>0</v>
      </c>
      <c r="K136" s="181">
        <f t="shared" si="16"/>
        <v>0</v>
      </c>
      <c r="L136" s="38"/>
    </row>
    <row r="137" spans="2:12" ht="30" customHeight="1" x14ac:dyDescent="0.3">
      <c r="B137" s="260" t="str">
        <f t="shared" si="4"/>
        <v>ePCR</v>
      </c>
      <c r="C137" s="260">
        <f>IF(ISTEXT(D137),MAX($C$4:$C136)+1,"")</f>
        <v>127</v>
      </c>
      <c r="D137" s="159" t="s">
        <v>41</v>
      </c>
      <c r="E137" s="306" t="s">
        <v>555</v>
      </c>
      <c r="F137" s="176" t="s">
        <v>43</v>
      </c>
      <c r="G137" s="177"/>
      <c r="H137" s="184"/>
      <c r="I137" s="188">
        <f t="shared" si="14"/>
        <v>0</v>
      </c>
      <c r="J137" s="189">
        <f t="shared" si="15"/>
        <v>0</v>
      </c>
      <c r="K137" s="181">
        <f t="shared" si="16"/>
        <v>0</v>
      </c>
      <c r="L137" s="38"/>
    </row>
    <row r="138" spans="2:12" ht="30" customHeight="1" x14ac:dyDescent="0.3">
      <c r="B138" s="260" t="str">
        <f t="shared" si="4"/>
        <v>ePCR</v>
      </c>
      <c r="C138" s="260">
        <f>IF(ISTEXT(D138),MAX($C$4:$C137)+1,"")</f>
        <v>128</v>
      </c>
      <c r="D138" s="159" t="s">
        <v>41</v>
      </c>
      <c r="E138" s="306" t="s">
        <v>556</v>
      </c>
      <c r="F138" s="176" t="s">
        <v>43</v>
      </c>
      <c r="G138" s="177"/>
      <c r="H138" s="184"/>
      <c r="I138" s="188">
        <f t="shared" si="14"/>
        <v>0</v>
      </c>
      <c r="J138" s="189">
        <f t="shared" si="15"/>
        <v>0</v>
      </c>
      <c r="K138" s="181">
        <f t="shared" si="16"/>
        <v>0</v>
      </c>
      <c r="L138" s="38"/>
    </row>
    <row r="139" spans="2:12" ht="30" customHeight="1" x14ac:dyDescent="0.3">
      <c r="B139" s="260" t="str">
        <f t="shared" si="4"/>
        <v>ePCR</v>
      </c>
      <c r="C139" s="260">
        <f>IF(ISTEXT(D139),MAX($C$4:$C138)+1,"")</f>
        <v>129</v>
      </c>
      <c r="D139" s="159" t="s">
        <v>41</v>
      </c>
      <c r="E139" s="307" t="s">
        <v>557</v>
      </c>
      <c r="F139" s="176" t="s">
        <v>43</v>
      </c>
      <c r="G139" s="177"/>
      <c r="H139" s="184"/>
      <c r="I139" s="188">
        <f t="shared" si="14"/>
        <v>0</v>
      </c>
      <c r="J139" s="189">
        <f t="shared" si="15"/>
        <v>0</v>
      </c>
      <c r="K139" s="181">
        <f t="shared" si="16"/>
        <v>0</v>
      </c>
      <c r="L139" s="38"/>
    </row>
    <row r="140" spans="2:12" ht="30" customHeight="1" x14ac:dyDescent="0.3">
      <c r="B140" s="260" t="str">
        <f t="shared" si="4"/>
        <v>ePCR</v>
      </c>
      <c r="C140" s="260">
        <f>IF(ISTEXT(D140),MAX($C$4:$C139)+1,"")</f>
        <v>130</v>
      </c>
      <c r="D140" s="159" t="s">
        <v>41</v>
      </c>
      <c r="E140" s="296" t="s">
        <v>558</v>
      </c>
      <c r="F140" s="176" t="s">
        <v>43</v>
      </c>
      <c r="G140" s="177"/>
      <c r="H140" s="184"/>
      <c r="I140" s="188">
        <f t="shared" si="14"/>
        <v>0</v>
      </c>
      <c r="J140" s="189">
        <f t="shared" si="15"/>
        <v>0</v>
      </c>
      <c r="K140" s="181">
        <f t="shared" si="16"/>
        <v>0</v>
      </c>
      <c r="L140" s="38"/>
    </row>
    <row r="141" spans="2:12" ht="30" customHeight="1" x14ac:dyDescent="0.3">
      <c r="B141" s="260" t="str">
        <f t="shared" si="4"/>
        <v>ePCR</v>
      </c>
      <c r="C141" s="260">
        <f>IF(ISTEXT(D141),MAX($C$4:$C140)+1,"")</f>
        <v>131</v>
      </c>
      <c r="D141" s="159" t="s">
        <v>41</v>
      </c>
      <c r="E141" s="306" t="s">
        <v>366</v>
      </c>
      <c r="F141" s="176" t="s">
        <v>43</v>
      </c>
      <c r="G141" s="177"/>
      <c r="H141" s="184"/>
      <c r="I141" s="188">
        <f t="shared" si="14"/>
        <v>0</v>
      </c>
      <c r="J141" s="189">
        <f t="shared" si="15"/>
        <v>0</v>
      </c>
      <c r="K141" s="181">
        <f t="shared" si="16"/>
        <v>0</v>
      </c>
      <c r="L141" s="38"/>
    </row>
    <row r="142" spans="2:12" ht="30" customHeight="1" x14ac:dyDescent="0.3">
      <c r="B142" s="260" t="str">
        <f t="shared" si="4"/>
        <v>ePCR</v>
      </c>
      <c r="C142" s="260">
        <f>IF(ISTEXT(D142),MAX($C$4:$C141)+1,"")</f>
        <v>132</v>
      </c>
      <c r="D142" s="159" t="s">
        <v>41</v>
      </c>
      <c r="E142" s="306" t="s">
        <v>559</v>
      </c>
      <c r="F142" s="176" t="s">
        <v>43</v>
      </c>
      <c r="G142" s="177"/>
      <c r="H142" s="184"/>
      <c r="I142" s="188">
        <f t="shared" si="14"/>
        <v>0</v>
      </c>
      <c r="J142" s="189">
        <f t="shared" si="15"/>
        <v>0</v>
      </c>
      <c r="K142" s="181">
        <f t="shared" si="16"/>
        <v>0</v>
      </c>
      <c r="L142" s="38"/>
    </row>
    <row r="143" spans="2:12" ht="30" customHeight="1" x14ac:dyDescent="0.3">
      <c r="B143" s="260" t="str">
        <f t="shared" si="4"/>
        <v>ePCR</v>
      </c>
      <c r="C143" s="260">
        <f>IF(ISTEXT(D143),MAX($C$4:$C142)+1,"")</f>
        <v>133</v>
      </c>
      <c r="D143" s="159" t="s">
        <v>41</v>
      </c>
      <c r="E143" s="306" t="s">
        <v>560</v>
      </c>
      <c r="F143" s="176" t="s">
        <v>43</v>
      </c>
      <c r="G143" s="177"/>
      <c r="H143" s="184"/>
      <c r="I143" s="188">
        <f t="shared" si="14"/>
        <v>0</v>
      </c>
      <c r="J143" s="189">
        <f t="shared" si="15"/>
        <v>0</v>
      </c>
      <c r="K143" s="181">
        <f t="shared" si="16"/>
        <v>0</v>
      </c>
      <c r="L143" s="38"/>
    </row>
    <row r="144" spans="2:12" ht="30" customHeight="1" x14ac:dyDescent="0.3">
      <c r="B144" s="260" t="str">
        <f t="shared" si="4"/>
        <v>ePCR</v>
      </c>
      <c r="C144" s="260">
        <f>IF(ISTEXT(D144),MAX($C$4:$C143)+1,"")</f>
        <v>134</v>
      </c>
      <c r="D144" s="159" t="s">
        <v>41</v>
      </c>
      <c r="E144" s="309" t="s">
        <v>561</v>
      </c>
      <c r="F144" s="176" t="s">
        <v>43</v>
      </c>
      <c r="G144" s="177"/>
      <c r="H144" s="184"/>
      <c r="I144" s="188">
        <f t="shared" si="14"/>
        <v>0</v>
      </c>
      <c r="J144" s="189">
        <f t="shared" si="15"/>
        <v>0</v>
      </c>
      <c r="K144" s="181">
        <f t="shared" si="16"/>
        <v>0</v>
      </c>
      <c r="L144" s="38"/>
    </row>
    <row r="145" spans="2:12" ht="30" customHeight="1" x14ac:dyDescent="0.3">
      <c r="B145" s="260" t="str">
        <f t="shared" si="4"/>
        <v>ePCR</v>
      </c>
      <c r="C145" s="260">
        <f>IF(ISTEXT(D145),MAX($C$4:$C144)+1,"")</f>
        <v>135</v>
      </c>
      <c r="D145" s="159" t="s">
        <v>41</v>
      </c>
      <c r="E145" s="306" t="s">
        <v>562</v>
      </c>
      <c r="F145" s="176" t="s">
        <v>43</v>
      </c>
      <c r="G145" s="177"/>
      <c r="H145" s="184"/>
      <c r="I145" s="188">
        <f t="shared" si="14"/>
        <v>0</v>
      </c>
      <c r="J145" s="189">
        <f t="shared" si="15"/>
        <v>0</v>
      </c>
      <c r="K145" s="181">
        <f t="shared" si="16"/>
        <v>0</v>
      </c>
      <c r="L145" s="38"/>
    </row>
    <row r="146" spans="2:12" ht="30" customHeight="1" x14ac:dyDescent="0.3">
      <c r="B146" s="260" t="str">
        <f t="shared" si="4"/>
        <v>ePCR</v>
      </c>
      <c r="C146" s="260">
        <f>IF(ISTEXT(D146),MAX($C$4:$C145)+1,"")</f>
        <v>136</v>
      </c>
      <c r="D146" s="159" t="s">
        <v>41</v>
      </c>
      <c r="E146" s="306" t="s">
        <v>563</v>
      </c>
      <c r="F146" s="176" t="s">
        <v>43</v>
      </c>
      <c r="G146" s="177"/>
      <c r="H146" s="184"/>
      <c r="I146" s="188">
        <f t="shared" si="14"/>
        <v>0</v>
      </c>
      <c r="J146" s="189">
        <f t="shared" si="15"/>
        <v>0</v>
      </c>
      <c r="K146" s="181">
        <f t="shared" si="16"/>
        <v>0</v>
      </c>
      <c r="L146" s="38"/>
    </row>
    <row r="147" spans="2:12" ht="30" customHeight="1" x14ac:dyDescent="0.3">
      <c r="B147" s="260" t="str">
        <f t="shared" si="4"/>
        <v>ePCR</v>
      </c>
      <c r="C147" s="260">
        <f>IF(ISTEXT(D147),MAX($C$4:$C146)+1,"")</f>
        <v>137</v>
      </c>
      <c r="D147" s="159" t="s">
        <v>41</v>
      </c>
      <c r="E147" s="306" t="s">
        <v>564</v>
      </c>
      <c r="F147" s="176" t="s">
        <v>43</v>
      </c>
      <c r="G147" s="177"/>
      <c r="H147" s="184"/>
      <c r="I147" s="188">
        <f t="shared" si="14"/>
        <v>0</v>
      </c>
      <c r="J147" s="189">
        <f t="shared" si="15"/>
        <v>0</v>
      </c>
      <c r="K147" s="181">
        <f t="shared" si="16"/>
        <v>0</v>
      </c>
      <c r="L147" s="38"/>
    </row>
    <row r="148" spans="2:12" ht="30" customHeight="1" x14ac:dyDescent="0.3">
      <c r="B148" s="260" t="str">
        <f t="shared" si="4"/>
        <v>ePCR</v>
      </c>
      <c r="C148" s="260">
        <f>IF(ISTEXT(D148),MAX($C$4:$C147)+1,"")</f>
        <v>138</v>
      </c>
      <c r="D148" s="159" t="s">
        <v>41</v>
      </c>
      <c r="E148" s="306" t="s">
        <v>565</v>
      </c>
      <c r="F148" s="176" t="s">
        <v>43</v>
      </c>
      <c r="G148" s="177"/>
      <c r="H148" s="184"/>
      <c r="I148" s="188">
        <f t="shared" si="14"/>
        <v>0</v>
      </c>
      <c r="J148" s="189">
        <f t="shared" si="15"/>
        <v>0</v>
      </c>
      <c r="K148" s="181">
        <f t="shared" si="16"/>
        <v>0</v>
      </c>
      <c r="L148" s="38"/>
    </row>
    <row r="149" spans="2:12" ht="30" customHeight="1" x14ac:dyDescent="0.3">
      <c r="B149" s="260" t="str">
        <f t="shared" si="4"/>
        <v>ePCR</v>
      </c>
      <c r="C149" s="260">
        <f>IF(ISTEXT(D149),MAX($C$4:$C148)+1,"")</f>
        <v>139</v>
      </c>
      <c r="D149" s="159" t="s">
        <v>41</v>
      </c>
      <c r="E149" s="306" t="s">
        <v>566</v>
      </c>
      <c r="F149" s="176" t="s">
        <v>43</v>
      </c>
      <c r="G149" s="177"/>
      <c r="H149" s="184"/>
      <c r="I149" s="188">
        <f t="shared" si="14"/>
        <v>0</v>
      </c>
      <c r="J149" s="189">
        <f t="shared" si="15"/>
        <v>0</v>
      </c>
      <c r="K149" s="181">
        <f t="shared" si="16"/>
        <v>0</v>
      </c>
      <c r="L149" s="38"/>
    </row>
    <row r="150" spans="2:12" ht="30" customHeight="1" x14ac:dyDescent="0.3">
      <c r="B150" s="260" t="str">
        <f t="shared" si="4"/>
        <v>ePCR</v>
      </c>
      <c r="C150" s="260">
        <f>IF(ISTEXT(D150),MAX($C$4:$C149)+1,"")</f>
        <v>140</v>
      </c>
      <c r="D150" s="159" t="s">
        <v>41</v>
      </c>
      <c r="E150" s="306" t="s">
        <v>567</v>
      </c>
      <c r="F150" s="176" t="s">
        <v>43</v>
      </c>
      <c r="G150" s="177"/>
      <c r="H150" s="184"/>
      <c r="I150" s="188">
        <f t="shared" si="14"/>
        <v>0</v>
      </c>
      <c r="J150" s="189">
        <f t="shared" si="15"/>
        <v>0</v>
      </c>
      <c r="K150" s="181">
        <f t="shared" si="16"/>
        <v>0</v>
      </c>
      <c r="L150" s="38"/>
    </row>
    <row r="151" spans="2:12" ht="30" customHeight="1" x14ac:dyDescent="0.3">
      <c r="B151" s="260" t="str">
        <f t="shared" si="4"/>
        <v>ePCR</v>
      </c>
      <c r="C151" s="260">
        <f>IF(ISTEXT(D151),MAX($C$4:$C150)+1,"")</f>
        <v>141</v>
      </c>
      <c r="D151" s="159" t="s">
        <v>41</v>
      </c>
      <c r="E151" s="306" t="s">
        <v>568</v>
      </c>
      <c r="F151" s="176" t="s">
        <v>43</v>
      </c>
      <c r="G151" s="177"/>
      <c r="H151" s="184"/>
      <c r="I151" s="188">
        <f t="shared" si="14"/>
        <v>0</v>
      </c>
      <c r="J151" s="189">
        <f t="shared" si="15"/>
        <v>0</v>
      </c>
      <c r="K151" s="181">
        <f t="shared" si="16"/>
        <v>0</v>
      </c>
      <c r="L151" s="38"/>
    </row>
    <row r="152" spans="2:12" ht="30" customHeight="1" x14ac:dyDescent="0.3">
      <c r="B152" s="260" t="str">
        <f t="shared" si="4"/>
        <v>ePCR</v>
      </c>
      <c r="C152" s="260">
        <f>IF(ISTEXT(D152),MAX($C$4:$C151)+1,"")</f>
        <v>142</v>
      </c>
      <c r="D152" s="159" t="s">
        <v>41</v>
      </c>
      <c r="E152" s="306" t="s">
        <v>569</v>
      </c>
      <c r="F152" s="176" t="s">
        <v>43</v>
      </c>
      <c r="G152" s="177"/>
      <c r="H152" s="184"/>
      <c r="I152" s="188">
        <f t="shared" si="14"/>
        <v>0</v>
      </c>
      <c r="J152" s="189">
        <f t="shared" si="15"/>
        <v>0</v>
      </c>
      <c r="K152" s="181">
        <f t="shared" si="16"/>
        <v>0</v>
      </c>
      <c r="L152" s="38"/>
    </row>
    <row r="153" spans="2:12" ht="30" customHeight="1" x14ac:dyDescent="0.3">
      <c r="B153" s="260" t="str">
        <f t="shared" si="4"/>
        <v>ePCR</v>
      </c>
      <c r="C153" s="260">
        <f>IF(ISTEXT(D153),MAX($C$4:$C152)+1,"")</f>
        <v>143</v>
      </c>
      <c r="D153" s="159" t="s">
        <v>41</v>
      </c>
      <c r="E153" s="306" t="s">
        <v>570</v>
      </c>
      <c r="F153" s="176" t="s">
        <v>43</v>
      </c>
      <c r="G153" s="177"/>
      <c r="H153" s="184"/>
      <c r="I153" s="188">
        <f t="shared" si="14"/>
        <v>0</v>
      </c>
      <c r="J153" s="189">
        <f t="shared" si="15"/>
        <v>0</v>
      </c>
      <c r="K153" s="181">
        <f t="shared" si="16"/>
        <v>0</v>
      </c>
      <c r="L153" s="38"/>
    </row>
    <row r="154" spans="2:12" ht="30" customHeight="1" x14ac:dyDescent="0.3">
      <c r="B154" s="260" t="str">
        <f t="shared" si="4"/>
        <v>ePCR</v>
      </c>
      <c r="C154" s="260">
        <f>IF(ISTEXT(D154),MAX($C$4:$C153)+1,"")</f>
        <v>144</v>
      </c>
      <c r="D154" s="159" t="s">
        <v>41</v>
      </c>
      <c r="E154" s="306" t="s">
        <v>571</v>
      </c>
      <c r="F154" s="176" t="s">
        <v>43</v>
      </c>
      <c r="G154" s="177"/>
      <c r="H154" s="184"/>
      <c r="I154" s="188">
        <f t="shared" si="14"/>
        <v>0</v>
      </c>
      <c r="J154" s="189">
        <f t="shared" si="15"/>
        <v>0</v>
      </c>
      <c r="K154" s="181">
        <f t="shared" si="16"/>
        <v>0</v>
      </c>
      <c r="L154" s="38"/>
    </row>
    <row r="155" spans="2:12" ht="30" customHeight="1" x14ac:dyDescent="0.3">
      <c r="B155" s="260" t="str">
        <f t="shared" si="4"/>
        <v>ePCR</v>
      </c>
      <c r="C155" s="260">
        <f>IF(ISTEXT(D155),MAX($C$4:$C154)+1,"")</f>
        <v>145</v>
      </c>
      <c r="D155" s="159" t="s">
        <v>41</v>
      </c>
      <c r="E155" s="306" t="s">
        <v>572</v>
      </c>
      <c r="F155" s="176" t="s">
        <v>43</v>
      </c>
      <c r="G155" s="177"/>
      <c r="H155" s="184"/>
      <c r="I155" s="188">
        <f t="shared" si="14"/>
        <v>0</v>
      </c>
      <c r="J155" s="189">
        <f t="shared" si="15"/>
        <v>0</v>
      </c>
      <c r="K155" s="181">
        <f t="shared" si="16"/>
        <v>0</v>
      </c>
      <c r="L155" s="38"/>
    </row>
    <row r="156" spans="2:12" ht="30" customHeight="1" x14ac:dyDescent="0.3">
      <c r="B156" s="260" t="str">
        <f t="shared" si="4"/>
        <v>ePCR</v>
      </c>
      <c r="C156" s="260">
        <f>IF(ISTEXT(D156),MAX($C$4:$C155)+1,"")</f>
        <v>146</v>
      </c>
      <c r="D156" s="159" t="s">
        <v>41</v>
      </c>
      <c r="E156" s="306" t="s">
        <v>573</v>
      </c>
      <c r="F156" s="176" t="s">
        <v>43</v>
      </c>
      <c r="G156" s="177"/>
      <c r="H156" s="184"/>
      <c r="I156" s="188">
        <f t="shared" si="14"/>
        <v>0</v>
      </c>
      <c r="J156" s="189">
        <f t="shared" si="15"/>
        <v>0</v>
      </c>
      <c r="K156" s="181">
        <f t="shared" si="16"/>
        <v>0</v>
      </c>
      <c r="L156" s="38"/>
    </row>
    <row r="157" spans="2:12" ht="30" customHeight="1" x14ac:dyDescent="0.3">
      <c r="B157" s="260" t="str">
        <f t="shared" si="4"/>
        <v>ePCR</v>
      </c>
      <c r="C157" s="260">
        <f>IF(ISTEXT(D157),MAX($C$4:$C156)+1,"")</f>
        <v>147</v>
      </c>
      <c r="D157" s="159" t="s">
        <v>41</v>
      </c>
      <c r="E157" s="306" t="s">
        <v>574</v>
      </c>
      <c r="F157" s="176" t="s">
        <v>43</v>
      </c>
      <c r="G157" s="177"/>
      <c r="H157" s="184"/>
      <c r="I157" s="188">
        <f t="shared" si="14"/>
        <v>0</v>
      </c>
      <c r="J157" s="189">
        <f t="shared" si="15"/>
        <v>0</v>
      </c>
      <c r="K157" s="181">
        <f t="shared" si="16"/>
        <v>0</v>
      </c>
      <c r="L157" s="38"/>
    </row>
    <row r="158" spans="2:12" ht="30" customHeight="1" x14ac:dyDescent="0.3">
      <c r="B158" s="260" t="str">
        <f t="shared" si="4"/>
        <v>ePCR</v>
      </c>
      <c r="C158" s="260">
        <f>IF(ISTEXT(D158),MAX($C$4:$C157)+1,"")</f>
        <v>148</v>
      </c>
      <c r="D158" s="159" t="s">
        <v>41</v>
      </c>
      <c r="E158" s="306" t="s">
        <v>575</v>
      </c>
      <c r="F158" s="176" t="s">
        <v>43</v>
      </c>
      <c r="G158" s="177"/>
      <c r="H158" s="184"/>
      <c r="I158" s="188">
        <f t="shared" si="14"/>
        <v>0</v>
      </c>
      <c r="J158" s="189">
        <f t="shared" si="15"/>
        <v>0</v>
      </c>
      <c r="K158" s="181">
        <f t="shared" si="16"/>
        <v>0</v>
      </c>
      <c r="L158" s="38"/>
    </row>
    <row r="159" spans="2:12" ht="30" customHeight="1" x14ac:dyDescent="0.3">
      <c r="B159" s="260" t="str">
        <f t="shared" si="4"/>
        <v>ePCR</v>
      </c>
      <c r="C159" s="260">
        <f>IF(ISTEXT(D159),MAX($C$4:$C158)+1,"")</f>
        <v>149</v>
      </c>
      <c r="D159" s="159" t="s">
        <v>41</v>
      </c>
      <c r="E159" s="306" t="s">
        <v>576</v>
      </c>
      <c r="F159" s="176" t="s">
        <v>43</v>
      </c>
      <c r="G159" s="177"/>
      <c r="H159" s="184"/>
      <c r="I159" s="188">
        <f t="shared" si="14"/>
        <v>0</v>
      </c>
      <c r="J159" s="189">
        <f t="shared" si="15"/>
        <v>0</v>
      </c>
      <c r="K159" s="181">
        <f t="shared" si="16"/>
        <v>0</v>
      </c>
      <c r="L159" s="38"/>
    </row>
    <row r="160" spans="2:12" ht="30" customHeight="1" x14ac:dyDescent="0.3">
      <c r="B160" s="260" t="str">
        <f t="shared" si="4"/>
        <v>ePCR</v>
      </c>
      <c r="C160" s="260">
        <f>IF(ISTEXT(D160),MAX($C$4:$C159)+1,"")</f>
        <v>150</v>
      </c>
      <c r="D160" s="159" t="s">
        <v>41</v>
      </c>
      <c r="E160" s="306" t="s">
        <v>577</v>
      </c>
      <c r="F160" s="176" t="s">
        <v>43</v>
      </c>
      <c r="G160" s="177"/>
      <c r="H160" s="184"/>
      <c r="I160" s="188">
        <f t="shared" si="14"/>
        <v>0</v>
      </c>
      <c r="J160" s="189">
        <f t="shared" si="15"/>
        <v>0</v>
      </c>
      <c r="K160" s="181">
        <f t="shared" si="16"/>
        <v>0</v>
      </c>
      <c r="L160" s="38"/>
    </row>
    <row r="161" spans="2:12" ht="30" customHeight="1" x14ac:dyDescent="0.3">
      <c r="B161" s="260" t="str">
        <f t="shared" si="4"/>
        <v>ePCR</v>
      </c>
      <c r="C161" s="260">
        <f>IF(ISTEXT(D161),MAX($C$4:$C160)+1,"")</f>
        <v>151</v>
      </c>
      <c r="D161" s="159" t="s">
        <v>41</v>
      </c>
      <c r="E161" s="306" t="s">
        <v>578</v>
      </c>
      <c r="F161" s="176" t="s">
        <v>43</v>
      </c>
      <c r="G161" s="177"/>
      <c r="H161" s="184"/>
      <c r="I161" s="188">
        <f t="shared" si="14"/>
        <v>0</v>
      </c>
      <c r="J161" s="189">
        <f t="shared" si="15"/>
        <v>0</v>
      </c>
      <c r="K161" s="181">
        <f t="shared" si="16"/>
        <v>0</v>
      </c>
      <c r="L161" s="38"/>
    </row>
    <row r="162" spans="2:12" ht="30" customHeight="1" x14ac:dyDescent="0.3">
      <c r="B162" s="260" t="str">
        <f t="shared" si="4"/>
        <v>ePCR</v>
      </c>
      <c r="C162" s="260">
        <f>IF(ISTEXT(D162),MAX($C$4:$C161)+1,"")</f>
        <v>152</v>
      </c>
      <c r="D162" s="159" t="s">
        <v>41</v>
      </c>
      <c r="E162" s="306" t="s">
        <v>579</v>
      </c>
      <c r="F162" s="176" t="s">
        <v>43</v>
      </c>
      <c r="G162" s="177"/>
      <c r="H162" s="184"/>
      <c r="I162" s="188">
        <f t="shared" si="14"/>
        <v>0</v>
      </c>
      <c r="J162" s="189">
        <f t="shared" si="15"/>
        <v>0</v>
      </c>
      <c r="K162" s="181">
        <f t="shared" si="16"/>
        <v>0</v>
      </c>
      <c r="L162" s="38"/>
    </row>
    <row r="163" spans="2:12" ht="30" customHeight="1" x14ac:dyDescent="0.3">
      <c r="B163" s="260" t="str">
        <f t="shared" si="4"/>
        <v>ePCR</v>
      </c>
      <c r="C163" s="260">
        <f>IF(ISTEXT(D163),MAX($C$4:$C162)+1,"")</f>
        <v>153</v>
      </c>
      <c r="D163" s="159" t="s">
        <v>41</v>
      </c>
      <c r="E163" s="309" t="s">
        <v>580</v>
      </c>
      <c r="F163" s="176" t="s">
        <v>43</v>
      </c>
      <c r="G163" s="177"/>
      <c r="H163" s="184"/>
      <c r="I163" s="188">
        <f t="shared" si="14"/>
        <v>0</v>
      </c>
      <c r="J163" s="189">
        <f t="shared" si="15"/>
        <v>0</v>
      </c>
      <c r="K163" s="181">
        <f t="shared" si="16"/>
        <v>0</v>
      </c>
      <c r="L163" s="38"/>
    </row>
    <row r="164" spans="2:12" ht="30" customHeight="1" x14ac:dyDescent="0.3">
      <c r="B164" s="260" t="str">
        <f t="shared" si="4"/>
        <v>ePCR</v>
      </c>
      <c r="C164" s="260">
        <f>IF(ISTEXT(D164),MAX($C$4:$C163)+1,"")</f>
        <v>154</v>
      </c>
      <c r="D164" s="159" t="s">
        <v>41</v>
      </c>
      <c r="E164" s="306" t="s">
        <v>581</v>
      </c>
      <c r="F164" s="176" t="s">
        <v>43</v>
      </c>
      <c r="G164" s="177"/>
      <c r="H164" s="184"/>
      <c r="I164" s="188">
        <f t="shared" si="14"/>
        <v>0</v>
      </c>
      <c r="J164" s="189">
        <f t="shared" si="15"/>
        <v>0</v>
      </c>
      <c r="K164" s="181">
        <f t="shared" si="16"/>
        <v>0</v>
      </c>
      <c r="L164" s="38"/>
    </row>
    <row r="165" spans="2:12" ht="30" customHeight="1" x14ac:dyDescent="0.3">
      <c r="B165" s="260" t="str">
        <f t="shared" si="4"/>
        <v>ePCR</v>
      </c>
      <c r="C165" s="260">
        <f>IF(ISTEXT(D165),MAX($C$4:$C164)+1,"")</f>
        <v>155</v>
      </c>
      <c r="D165" s="159" t="s">
        <v>41</v>
      </c>
      <c r="E165" s="307" t="s">
        <v>582</v>
      </c>
      <c r="F165" s="176" t="s">
        <v>43</v>
      </c>
      <c r="G165" s="177"/>
      <c r="H165" s="184"/>
      <c r="I165" s="188">
        <f t="shared" si="14"/>
        <v>0</v>
      </c>
      <c r="J165" s="189">
        <f t="shared" si="15"/>
        <v>0</v>
      </c>
      <c r="K165" s="181">
        <f t="shared" si="16"/>
        <v>0</v>
      </c>
      <c r="L165" s="38"/>
    </row>
    <row r="166" spans="2:12" ht="30" customHeight="1" x14ac:dyDescent="0.3">
      <c r="B166" s="260" t="str">
        <f t="shared" si="4"/>
        <v>ePCR</v>
      </c>
      <c r="C166" s="260">
        <f>IF(ISTEXT(D166),MAX($C$4:$C165)+1,"")</f>
        <v>156</v>
      </c>
      <c r="D166" s="159" t="s">
        <v>41</v>
      </c>
      <c r="E166" s="310" t="s">
        <v>583</v>
      </c>
      <c r="F166" s="176" t="s">
        <v>43</v>
      </c>
      <c r="G166" s="177"/>
      <c r="H166" s="184"/>
      <c r="I166" s="188">
        <f t="shared" si="14"/>
        <v>0</v>
      </c>
      <c r="J166" s="189">
        <f t="shared" si="15"/>
        <v>0</v>
      </c>
      <c r="K166" s="181">
        <f t="shared" si="16"/>
        <v>0</v>
      </c>
      <c r="L166" s="38"/>
    </row>
    <row r="167" spans="2:12" ht="30" customHeight="1" x14ac:dyDescent="0.3">
      <c r="B167" s="40" t="str">
        <f>IF(C167="","",$B$4)</f>
        <v/>
      </c>
      <c r="C167" s="40" t="str">
        <f>IF(ISTEXT(D167),MAX($C$5:$C166)+1,"")</f>
        <v/>
      </c>
      <c r="D167" s="3"/>
      <c r="E167" s="311" t="s">
        <v>584</v>
      </c>
      <c r="F167" s="115"/>
      <c r="G167" s="31"/>
      <c r="H167" s="31"/>
      <c r="I167" s="31"/>
      <c r="J167" s="31"/>
      <c r="K167" s="181"/>
      <c r="L167" s="31"/>
    </row>
    <row r="168" spans="2:12" ht="30" customHeight="1" x14ac:dyDescent="0.3">
      <c r="B168" s="260" t="str">
        <f t="shared" si="4"/>
        <v>ePCR</v>
      </c>
      <c r="C168" s="260">
        <f>IF(ISTEXT(D168),MAX($C$4:$C166)+1,"")</f>
        <v>157</v>
      </c>
      <c r="D168" s="159" t="s">
        <v>41</v>
      </c>
      <c r="E168" s="300" t="s">
        <v>585</v>
      </c>
      <c r="F168" s="176" t="s">
        <v>43</v>
      </c>
      <c r="G168" s="177"/>
      <c r="H168" s="184"/>
      <c r="I168" s="188">
        <f t="shared" ref="I168:I192" si="17">VLOOKUP($D168,SpecData,2,FALSE)</f>
        <v>0</v>
      </c>
      <c r="J168" s="189">
        <f t="shared" ref="J168:J192" si="18">VLOOKUP($F168,AvailabilityData,2,FALSE)</f>
        <v>0</v>
      </c>
      <c r="K168" s="181">
        <f t="shared" si="16"/>
        <v>0</v>
      </c>
      <c r="L168" s="38"/>
    </row>
    <row r="169" spans="2:12" ht="30" customHeight="1" x14ac:dyDescent="0.3">
      <c r="B169" s="260" t="str">
        <f t="shared" si="4"/>
        <v>ePCR</v>
      </c>
      <c r="C169" s="260">
        <f>IF(ISTEXT(D169),MAX($C$4:$C168)+1,"")</f>
        <v>158</v>
      </c>
      <c r="D169" s="159" t="s">
        <v>41</v>
      </c>
      <c r="E169" s="296" t="s">
        <v>586</v>
      </c>
      <c r="F169" s="176" t="s">
        <v>43</v>
      </c>
      <c r="G169" s="177"/>
      <c r="H169" s="184"/>
      <c r="I169" s="188">
        <f t="shared" si="17"/>
        <v>0</v>
      </c>
      <c r="J169" s="189">
        <f t="shared" si="18"/>
        <v>0</v>
      </c>
      <c r="K169" s="181">
        <f t="shared" si="16"/>
        <v>0</v>
      </c>
      <c r="L169" s="38"/>
    </row>
    <row r="170" spans="2:12" ht="30" customHeight="1" x14ac:dyDescent="0.3">
      <c r="B170" s="260" t="str">
        <f t="shared" si="4"/>
        <v>ePCR</v>
      </c>
      <c r="C170" s="260">
        <f>IF(ISTEXT(D170),MAX($C$4:$C169)+1,"")</f>
        <v>159</v>
      </c>
      <c r="D170" s="159" t="s">
        <v>41</v>
      </c>
      <c r="E170" s="296" t="s">
        <v>587</v>
      </c>
      <c r="F170" s="176" t="s">
        <v>43</v>
      </c>
      <c r="G170" s="177"/>
      <c r="H170" s="184"/>
      <c r="I170" s="188">
        <f t="shared" si="17"/>
        <v>0</v>
      </c>
      <c r="J170" s="189">
        <f t="shared" si="18"/>
        <v>0</v>
      </c>
      <c r="K170" s="181">
        <f t="shared" si="16"/>
        <v>0</v>
      </c>
      <c r="L170" s="38"/>
    </row>
    <row r="171" spans="2:12" ht="30" customHeight="1" x14ac:dyDescent="0.3">
      <c r="B171" s="260" t="str">
        <f t="shared" si="4"/>
        <v>ePCR</v>
      </c>
      <c r="C171" s="260">
        <f>IF(ISTEXT(D171),MAX($C$4:$C170)+1,"")</f>
        <v>160</v>
      </c>
      <c r="D171" s="159" t="s">
        <v>41</v>
      </c>
      <c r="E171" s="296" t="s">
        <v>588</v>
      </c>
      <c r="F171" s="176" t="s">
        <v>43</v>
      </c>
      <c r="G171" s="177"/>
      <c r="H171" s="184"/>
      <c r="I171" s="188">
        <f t="shared" si="17"/>
        <v>0</v>
      </c>
      <c r="J171" s="189">
        <f t="shared" si="18"/>
        <v>0</v>
      </c>
      <c r="K171" s="181">
        <f t="shared" si="16"/>
        <v>0</v>
      </c>
      <c r="L171" s="38"/>
    </row>
    <row r="172" spans="2:12" ht="30" customHeight="1" x14ac:dyDescent="0.3">
      <c r="B172" s="260" t="str">
        <f t="shared" si="4"/>
        <v>ePCR</v>
      </c>
      <c r="C172" s="260">
        <f>IF(ISTEXT(D172),MAX($C$4:$C171)+1,"")</f>
        <v>161</v>
      </c>
      <c r="D172" s="159" t="s">
        <v>41</v>
      </c>
      <c r="E172" s="296" t="s">
        <v>589</v>
      </c>
      <c r="F172" s="176" t="s">
        <v>43</v>
      </c>
      <c r="G172" s="177"/>
      <c r="H172" s="184"/>
      <c r="I172" s="188">
        <f t="shared" si="17"/>
        <v>0</v>
      </c>
      <c r="J172" s="189">
        <f t="shared" si="18"/>
        <v>0</v>
      </c>
      <c r="K172" s="181">
        <f t="shared" si="16"/>
        <v>0</v>
      </c>
      <c r="L172" s="38"/>
    </row>
    <row r="173" spans="2:12" ht="30" customHeight="1" x14ac:dyDescent="0.3">
      <c r="B173" s="260" t="str">
        <f t="shared" si="4"/>
        <v>ePCR</v>
      </c>
      <c r="C173" s="260">
        <f>IF(ISTEXT(D173),MAX($C$4:$C172)+1,"")</f>
        <v>162</v>
      </c>
      <c r="D173" s="159" t="s">
        <v>41</v>
      </c>
      <c r="E173" s="296" t="s">
        <v>590</v>
      </c>
      <c r="F173" s="176" t="s">
        <v>43</v>
      </c>
      <c r="G173" s="177"/>
      <c r="H173" s="184"/>
      <c r="I173" s="188">
        <f t="shared" si="17"/>
        <v>0</v>
      </c>
      <c r="J173" s="189">
        <f t="shared" si="18"/>
        <v>0</v>
      </c>
      <c r="K173" s="181">
        <f t="shared" si="16"/>
        <v>0</v>
      </c>
      <c r="L173" s="38"/>
    </row>
    <row r="174" spans="2:12" ht="30" customHeight="1" x14ac:dyDescent="0.3">
      <c r="B174" s="260" t="str">
        <f t="shared" si="4"/>
        <v>ePCR</v>
      </c>
      <c r="C174" s="260">
        <f>IF(ISTEXT(D174),MAX($C$4:$C173)+1,"")</f>
        <v>163</v>
      </c>
      <c r="D174" s="159" t="s">
        <v>41</v>
      </c>
      <c r="E174" s="296" t="s">
        <v>591</v>
      </c>
      <c r="F174" s="176" t="s">
        <v>43</v>
      </c>
      <c r="G174" s="177"/>
      <c r="H174" s="184"/>
      <c r="I174" s="188">
        <f t="shared" si="17"/>
        <v>0</v>
      </c>
      <c r="J174" s="189">
        <f t="shared" si="18"/>
        <v>0</v>
      </c>
      <c r="K174" s="181">
        <f t="shared" si="16"/>
        <v>0</v>
      </c>
      <c r="L174" s="38"/>
    </row>
    <row r="175" spans="2:12" ht="30" customHeight="1" x14ac:dyDescent="0.3">
      <c r="B175" s="260" t="str">
        <f t="shared" si="4"/>
        <v>ePCR</v>
      </c>
      <c r="C175" s="260">
        <f>IF(ISTEXT(D175),MAX($C$4:$C174)+1,"")</f>
        <v>164</v>
      </c>
      <c r="D175" s="159" t="s">
        <v>41</v>
      </c>
      <c r="E175" s="296" t="s">
        <v>592</v>
      </c>
      <c r="F175" s="176" t="s">
        <v>43</v>
      </c>
      <c r="G175" s="177"/>
      <c r="H175" s="184"/>
      <c r="I175" s="188">
        <f t="shared" si="17"/>
        <v>0</v>
      </c>
      <c r="J175" s="189">
        <f t="shared" si="18"/>
        <v>0</v>
      </c>
      <c r="K175" s="181">
        <f t="shared" si="16"/>
        <v>0</v>
      </c>
      <c r="L175" s="38"/>
    </row>
    <row r="176" spans="2:12" ht="30" customHeight="1" x14ac:dyDescent="0.3">
      <c r="B176" s="260" t="str">
        <f t="shared" si="4"/>
        <v>ePCR</v>
      </c>
      <c r="C176" s="260">
        <f>IF(ISTEXT(D176),MAX($C$4:$C175)+1,"")</f>
        <v>165</v>
      </c>
      <c r="D176" s="159" t="s">
        <v>41</v>
      </c>
      <c r="E176" s="296" t="s">
        <v>593</v>
      </c>
      <c r="F176" s="176" t="s">
        <v>43</v>
      </c>
      <c r="G176" s="177"/>
      <c r="H176" s="184"/>
      <c r="I176" s="188">
        <f t="shared" si="17"/>
        <v>0</v>
      </c>
      <c r="J176" s="189">
        <f t="shared" si="18"/>
        <v>0</v>
      </c>
      <c r="K176" s="181">
        <f t="shared" si="16"/>
        <v>0</v>
      </c>
      <c r="L176" s="38"/>
    </row>
    <row r="177" spans="2:12" ht="30" customHeight="1" x14ac:dyDescent="0.3">
      <c r="B177" s="260" t="str">
        <f t="shared" si="4"/>
        <v>ePCR</v>
      </c>
      <c r="C177" s="260">
        <f>IF(ISTEXT(D177),MAX($C$4:$C176)+1,"")</f>
        <v>166</v>
      </c>
      <c r="D177" s="159" t="s">
        <v>41</v>
      </c>
      <c r="E177" s="296" t="s">
        <v>594</v>
      </c>
      <c r="F177" s="176" t="s">
        <v>43</v>
      </c>
      <c r="G177" s="177"/>
      <c r="H177" s="184"/>
      <c r="I177" s="188">
        <f t="shared" si="17"/>
        <v>0</v>
      </c>
      <c r="J177" s="189">
        <f t="shared" si="18"/>
        <v>0</v>
      </c>
      <c r="K177" s="181">
        <f t="shared" si="16"/>
        <v>0</v>
      </c>
      <c r="L177" s="38"/>
    </row>
    <row r="178" spans="2:12" ht="30" customHeight="1" x14ac:dyDescent="0.3">
      <c r="B178" s="260" t="str">
        <f t="shared" si="4"/>
        <v>ePCR</v>
      </c>
      <c r="C178" s="260">
        <f>IF(ISTEXT(D178),MAX($C$4:$C177)+1,"")</f>
        <v>167</v>
      </c>
      <c r="D178" s="159" t="s">
        <v>41</v>
      </c>
      <c r="E178" s="296" t="s">
        <v>595</v>
      </c>
      <c r="F178" s="176" t="s">
        <v>43</v>
      </c>
      <c r="G178" s="177"/>
      <c r="H178" s="184"/>
      <c r="I178" s="188">
        <f t="shared" si="17"/>
        <v>0</v>
      </c>
      <c r="J178" s="189">
        <f t="shared" si="18"/>
        <v>0</v>
      </c>
      <c r="K178" s="181">
        <f t="shared" si="16"/>
        <v>0</v>
      </c>
      <c r="L178" s="38"/>
    </row>
    <row r="179" spans="2:12" ht="30" customHeight="1" x14ac:dyDescent="0.3">
      <c r="B179" s="260" t="str">
        <f t="shared" si="4"/>
        <v>ePCR</v>
      </c>
      <c r="C179" s="260">
        <f>IF(ISTEXT(D179),MAX($C$4:$C178)+1,"")</f>
        <v>168</v>
      </c>
      <c r="D179" s="159" t="s">
        <v>41</v>
      </c>
      <c r="E179" s="296" t="s">
        <v>596</v>
      </c>
      <c r="F179" s="176" t="s">
        <v>43</v>
      </c>
      <c r="G179" s="177"/>
      <c r="H179" s="184"/>
      <c r="I179" s="188">
        <f t="shared" si="17"/>
        <v>0</v>
      </c>
      <c r="J179" s="189">
        <f t="shared" si="18"/>
        <v>0</v>
      </c>
      <c r="K179" s="181">
        <f t="shared" si="16"/>
        <v>0</v>
      </c>
      <c r="L179" s="38"/>
    </row>
    <row r="180" spans="2:12" ht="30" customHeight="1" x14ac:dyDescent="0.3">
      <c r="B180" s="260" t="str">
        <f t="shared" si="4"/>
        <v>ePCR</v>
      </c>
      <c r="C180" s="260">
        <f>IF(ISTEXT(D180),MAX($C$4:$C179)+1,"")</f>
        <v>169</v>
      </c>
      <c r="D180" s="159" t="s">
        <v>41</v>
      </c>
      <c r="E180" s="296" t="s">
        <v>597</v>
      </c>
      <c r="F180" s="176" t="s">
        <v>43</v>
      </c>
      <c r="G180" s="177"/>
      <c r="H180" s="184"/>
      <c r="I180" s="188">
        <f t="shared" si="17"/>
        <v>0</v>
      </c>
      <c r="J180" s="189">
        <f t="shared" si="18"/>
        <v>0</v>
      </c>
      <c r="K180" s="181">
        <f t="shared" si="16"/>
        <v>0</v>
      </c>
      <c r="L180" s="38"/>
    </row>
    <row r="181" spans="2:12" ht="30" customHeight="1" x14ac:dyDescent="0.3">
      <c r="B181" s="260" t="str">
        <f t="shared" si="4"/>
        <v>ePCR</v>
      </c>
      <c r="C181" s="260">
        <f>IF(ISTEXT(D181),MAX($C$4:$C180)+1,"")</f>
        <v>170</v>
      </c>
      <c r="D181" s="159" t="s">
        <v>41</v>
      </c>
      <c r="E181" s="296" t="s">
        <v>598</v>
      </c>
      <c r="F181" s="176" t="s">
        <v>43</v>
      </c>
      <c r="G181" s="177"/>
      <c r="H181" s="184"/>
      <c r="I181" s="188">
        <f t="shared" si="17"/>
        <v>0</v>
      </c>
      <c r="J181" s="189">
        <f t="shared" si="18"/>
        <v>0</v>
      </c>
      <c r="K181" s="181">
        <f t="shared" si="16"/>
        <v>0</v>
      </c>
      <c r="L181" s="38"/>
    </row>
    <row r="182" spans="2:12" ht="30" customHeight="1" x14ac:dyDescent="0.3">
      <c r="B182" s="260" t="str">
        <f t="shared" si="4"/>
        <v>ePCR</v>
      </c>
      <c r="C182" s="260">
        <f>IF(ISTEXT(D182),MAX($C$4:$C181)+1,"")</f>
        <v>171</v>
      </c>
      <c r="D182" s="159" t="s">
        <v>41</v>
      </c>
      <c r="E182" s="296" t="s">
        <v>599</v>
      </c>
      <c r="F182" s="176" t="s">
        <v>43</v>
      </c>
      <c r="G182" s="177"/>
      <c r="H182" s="184"/>
      <c r="I182" s="188">
        <f t="shared" si="17"/>
        <v>0</v>
      </c>
      <c r="J182" s="189">
        <f t="shared" si="18"/>
        <v>0</v>
      </c>
      <c r="K182" s="181">
        <f t="shared" si="16"/>
        <v>0</v>
      </c>
      <c r="L182" s="38"/>
    </row>
    <row r="183" spans="2:12" ht="30" customHeight="1" x14ac:dyDescent="0.3">
      <c r="B183" s="260" t="str">
        <f t="shared" si="4"/>
        <v>ePCR</v>
      </c>
      <c r="C183" s="260">
        <f>IF(ISTEXT(D183),MAX($C$4:$C182)+1,"")</f>
        <v>172</v>
      </c>
      <c r="D183" s="159" t="s">
        <v>41</v>
      </c>
      <c r="E183" s="296" t="s">
        <v>600</v>
      </c>
      <c r="F183" s="176" t="s">
        <v>43</v>
      </c>
      <c r="G183" s="177"/>
      <c r="H183" s="184"/>
      <c r="I183" s="188">
        <f t="shared" si="17"/>
        <v>0</v>
      </c>
      <c r="J183" s="189">
        <f t="shared" si="18"/>
        <v>0</v>
      </c>
      <c r="K183" s="181">
        <f t="shared" si="16"/>
        <v>0</v>
      </c>
      <c r="L183" s="38"/>
    </row>
    <row r="184" spans="2:12" ht="30" customHeight="1" x14ac:dyDescent="0.3">
      <c r="B184" s="260" t="str">
        <f t="shared" si="4"/>
        <v>ePCR</v>
      </c>
      <c r="C184" s="260">
        <f>IF(ISTEXT(D184),MAX($C$4:$C183)+1,"")</f>
        <v>173</v>
      </c>
      <c r="D184" s="159" t="s">
        <v>41</v>
      </c>
      <c r="E184" s="296" t="s">
        <v>601</v>
      </c>
      <c r="F184" s="176" t="s">
        <v>43</v>
      </c>
      <c r="G184" s="177"/>
      <c r="H184" s="184"/>
      <c r="I184" s="188">
        <f t="shared" si="17"/>
        <v>0</v>
      </c>
      <c r="J184" s="189">
        <f t="shared" si="18"/>
        <v>0</v>
      </c>
      <c r="K184" s="181">
        <f t="shared" si="16"/>
        <v>0</v>
      </c>
      <c r="L184" s="38"/>
    </row>
    <row r="185" spans="2:12" ht="30" customHeight="1" x14ac:dyDescent="0.3">
      <c r="B185" s="260" t="str">
        <f t="shared" si="4"/>
        <v>ePCR</v>
      </c>
      <c r="C185" s="260">
        <f>IF(ISTEXT(D185),MAX($C$4:$C184)+1,"")</f>
        <v>174</v>
      </c>
      <c r="D185" s="159" t="s">
        <v>41</v>
      </c>
      <c r="E185" s="296" t="s">
        <v>602</v>
      </c>
      <c r="F185" s="176" t="s">
        <v>43</v>
      </c>
      <c r="G185" s="177"/>
      <c r="H185" s="184"/>
      <c r="I185" s="188">
        <f t="shared" si="17"/>
        <v>0</v>
      </c>
      <c r="J185" s="189">
        <f t="shared" si="18"/>
        <v>0</v>
      </c>
      <c r="K185" s="181">
        <f t="shared" si="16"/>
        <v>0</v>
      </c>
      <c r="L185" s="38"/>
    </row>
    <row r="186" spans="2:12" ht="30" customHeight="1" x14ac:dyDescent="0.3">
      <c r="B186" s="260" t="str">
        <f t="shared" si="4"/>
        <v>ePCR</v>
      </c>
      <c r="C186" s="260">
        <f>IF(ISTEXT(D186),MAX($C$4:$C185)+1,"")</f>
        <v>175</v>
      </c>
      <c r="D186" s="159" t="s">
        <v>41</v>
      </c>
      <c r="E186" s="296" t="s">
        <v>603</v>
      </c>
      <c r="F186" s="176" t="s">
        <v>43</v>
      </c>
      <c r="G186" s="177"/>
      <c r="H186" s="184"/>
      <c r="I186" s="188">
        <f t="shared" si="17"/>
        <v>0</v>
      </c>
      <c r="J186" s="189">
        <f t="shared" si="18"/>
        <v>0</v>
      </c>
      <c r="K186" s="181">
        <f t="shared" si="16"/>
        <v>0</v>
      </c>
      <c r="L186" s="38"/>
    </row>
    <row r="187" spans="2:12" ht="30" customHeight="1" x14ac:dyDescent="0.3">
      <c r="B187" s="260" t="str">
        <f t="shared" si="4"/>
        <v>ePCR</v>
      </c>
      <c r="C187" s="260">
        <f>IF(ISTEXT(D187),MAX($C$4:$C186)+1,"")</f>
        <v>176</v>
      </c>
      <c r="D187" s="159" t="s">
        <v>41</v>
      </c>
      <c r="E187" s="296" t="s">
        <v>604</v>
      </c>
      <c r="F187" s="176" t="s">
        <v>43</v>
      </c>
      <c r="G187" s="177"/>
      <c r="H187" s="184"/>
      <c r="I187" s="188">
        <f t="shared" si="17"/>
        <v>0</v>
      </c>
      <c r="J187" s="189">
        <f t="shared" si="18"/>
        <v>0</v>
      </c>
      <c r="K187" s="181">
        <f t="shared" si="16"/>
        <v>0</v>
      </c>
      <c r="L187" s="38"/>
    </row>
    <row r="188" spans="2:12" ht="30" customHeight="1" x14ac:dyDescent="0.3">
      <c r="B188" s="260" t="str">
        <f t="shared" si="4"/>
        <v>ePCR</v>
      </c>
      <c r="C188" s="260">
        <f>IF(ISTEXT(D188),MAX($C$4:$C187)+1,"")</f>
        <v>177</v>
      </c>
      <c r="D188" s="159" t="s">
        <v>41</v>
      </c>
      <c r="E188" s="296" t="s">
        <v>605</v>
      </c>
      <c r="F188" s="176" t="s">
        <v>43</v>
      </c>
      <c r="G188" s="177"/>
      <c r="H188" s="184"/>
      <c r="I188" s="188">
        <f t="shared" si="17"/>
        <v>0</v>
      </c>
      <c r="J188" s="189">
        <f t="shared" si="18"/>
        <v>0</v>
      </c>
      <c r="K188" s="181">
        <f t="shared" si="16"/>
        <v>0</v>
      </c>
      <c r="L188" s="38"/>
    </row>
    <row r="189" spans="2:12" ht="30" customHeight="1" x14ac:dyDescent="0.3">
      <c r="B189" s="260" t="str">
        <f t="shared" si="4"/>
        <v>ePCR</v>
      </c>
      <c r="C189" s="260">
        <f>IF(ISTEXT(D189),MAX($C$4:$C188)+1,"")</f>
        <v>178</v>
      </c>
      <c r="D189" s="159" t="s">
        <v>41</v>
      </c>
      <c r="E189" s="296" t="s">
        <v>606</v>
      </c>
      <c r="F189" s="176" t="s">
        <v>43</v>
      </c>
      <c r="G189" s="177"/>
      <c r="H189" s="184"/>
      <c r="I189" s="188">
        <f t="shared" si="17"/>
        <v>0</v>
      </c>
      <c r="J189" s="189">
        <f t="shared" si="18"/>
        <v>0</v>
      </c>
      <c r="K189" s="181">
        <f t="shared" si="16"/>
        <v>0</v>
      </c>
      <c r="L189" s="38"/>
    </row>
    <row r="190" spans="2:12" ht="30" customHeight="1" x14ac:dyDescent="0.3">
      <c r="B190" s="260" t="str">
        <f t="shared" si="4"/>
        <v>ePCR</v>
      </c>
      <c r="C190" s="260">
        <f>IF(ISTEXT(D190),MAX($C$4:$C189)+1,"")</f>
        <v>179</v>
      </c>
      <c r="D190" s="159" t="s">
        <v>41</v>
      </c>
      <c r="E190" s="296" t="s">
        <v>607</v>
      </c>
      <c r="F190" s="176" t="s">
        <v>43</v>
      </c>
      <c r="G190" s="177"/>
      <c r="H190" s="184"/>
      <c r="I190" s="188">
        <f t="shared" si="17"/>
        <v>0</v>
      </c>
      <c r="J190" s="189">
        <f t="shared" si="18"/>
        <v>0</v>
      </c>
      <c r="K190" s="181">
        <f t="shared" si="16"/>
        <v>0</v>
      </c>
      <c r="L190" s="38"/>
    </row>
    <row r="191" spans="2:12" ht="30" customHeight="1" x14ac:dyDescent="0.3">
      <c r="B191" s="260" t="str">
        <f t="shared" si="4"/>
        <v>ePCR</v>
      </c>
      <c r="C191" s="260">
        <f>IF(ISTEXT(D191),MAX($C$4:$C190)+1,"")</f>
        <v>180</v>
      </c>
      <c r="D191" s="159" t="s">
        <v>41</v>
      </c>
      <c r="E191" s="299" t="s">
        <v>608</v>
      </c>
      <c r="F191" s="176" t="s">
        <v>43</v>
      </c>
      <c r="G191" s="177"/>
      <c r="H191" s="184"/>
      <c r="I191" s="188">
        <f t="shared" si="17"/>
        <v>0</v>
      </c>
      <c r="J191" s="189">
        <f t="shared" si="18"/>
        <v>0</v>
      </c>
      <c r="K191" s="181">
        <f t="shared" si="16"/>
        <v>0</v>
      </c>
      <c r="L191" s="38"/>
    </row>
    <row r="192" spans="2:12" ht="30" customHeight="1" x14ac:dyDescent="0.3">
      <c r="B192" s="260" t="str">
        <f t="shared" si="4"/>
        <v>ePCR</v>
      </c>
      <c r="C192" s="260">
        <f>IF(ISTEXT(D192),MAX($C$4:$C191)+1,"")</f>
        <v>181</v>
      </c>
      <c r="D192" s="159" t="s">
        <v>41</v>
      </c>
      <c r="E192" s="299" t="s">
        <v>609</v>
      </c>
      <c r="F192" s="176" t="s">
        <v>43</v>
      </c>
      <c r="G192" s="177"/>
      <c r="H192" s="184"/>
      <c r="I192" s="188">
        <f t="shared" si="17"/>
        <v>0</v>
      </c>
      <c r="J192" s="189">
        <f t="shared" si="18"/>
        <v>0</v>
      </c>
      <c r="K192" s="181">
        <f t="shared" si="16"/>
        <v>0</v>
      </c>
      <c r="L192" s="38"/>
    </row>
    <row r="193" spans="2:12" ht="30" customHeight="1" x14ac:dyDescent="0.3">
      <c r="B193" s="40" t="str">
        <f>IF(C193="","",$B$4)</f>
        <v/>
      </c>
      <c r="C193" s="40"/>
      <c r="D193" s="3"/>
      <c r="E193" s="312" t="s">
        <v>610</v>
      </c>
      <c r="F193" s="115"/>
      <c r="G193" s="31"/>
      <c r="H193" s="31"/>
      <c r="I193" s="31"/>
      <c r="J193" s="31"/>
      <c r="K193" s="181"/>
      <c r="L193" s="31"/>
    </row>
    <row r="194" spans="2:12" ht="30" customHeight="1" x14ac:dyDescent="0.3">
      <c r="B194" s="260" t="str">
        <f t="shared" si="4"/>
        <v>ePCR</v>
      </c>
      <c r="C194" s="260">
        <f>IF(ISTEXT(D194),MAX($C$4:$C193)+1,"")</f>
        <v>182</v>
      </c>
      <c r="D194" s="159" t="s">
        <v>41</v>
      </c>
      <c r="E194" s="308" t="s">
        <v>611</v>
      </c>
      <c r="F194" s="176" t="s">
        <v>43</v>
      </c>
      <c r="G194" s="177"/>
      <c r="H194" s="184"/>
      <c r="I194" s="188">
        <f t="shared" ref="I194:I205" si="19">VLOOKUP($D194,SpecData,2,FALSE)</f>
        <v>0</v>
      </c>
      <c r="J194" s="189">
        <f t="shared" ref="J194:J205" si="20">VLOOKUP($F194,AvailabilityData,2,FALSE)</f>
        <v>0</v>
      </c>
      <c r="K194" s="181">
        <f t="shared" si="16"/>
        <v>0</v>
      </c>
      <c r="L194" s="38"/>
    </row>
    <row r="195" spans="2:12" ht="30" customHeight="1" x14ac:dyDescent="0.3">
      <c r="B195" s="260" t="str">
        <f t="shared" si="4"/>
        <v>ePCR</v>
      </c>
      <c r="C195" s="260">
        <f>IF(ISTEXT(D195),MAX($C$4:$C194)+1,"")</f>
        <v>183</v>
      </c>
      <c r="D195" s="159" t="s">
        <v>41</v>
      </c>
      <c r="E195" s="306" t="s">
        <v>612</v>
      </c>
      <c r="F195" s="176" t="s">
        <v>43</v>
      </c>
      <c r="G195" s="177"/>
      <c r="H195" s="184"/>
      <c r="I195" s="188">
        <f t="shared" si="19"/>
        <v>0</v>
      </c>
      <c r="J195" s="189">
        <f t="shared" si="20"/>
        <v>0</v>
      </c>
      <c r="K195" s="181">
        <f t="shared" si="16"/>
        <v>0</v>
      </c>
      <c r="L195" s="38"/>
    </row>
    <row r="196" spans="2:12" ht="30" customHeight="1" x14ac:dyDescent="0.3">
      <c r="B196" s="260" t="str">
        <f t="shared" si="4"/>
        <v>ePCR</v>
      </c>
      <c r="C196" s="260">
        <f>IF(ISTEXT(D196),MAX($C$4:$C195)+1,"")</f>
        <v>184</v>
      </c>
      <c r="D196" s="159" t="s">
        <v>41</v>
      </c>
      <c r="E196" s="306" t="s">
        <v>613</v>
      </c>
      <c r="F196" s="176" t="s">
        <v>43</v>
      </c>
      <c r="G196" s="177"/>
      <c r="H196" s="184"/>
      <c r="I196" s="188">
        <f t="shared" si="19"/>
        <v>0</v>
      </c>
      <c r="J196" s="189">
        <f t="shared" si="20"/>
        <v>0</v>
      </c>
      <c r="K196" s="181">
        <f t="shared" si="16"/>
        <v>0</v>
      </c>
      <c r="L196" s="38"/>
    </row>
    <row r="197" spans="2:12" ht="30" customHeight="1" x14ac:dyDescent="0.3">
      <c r="B197" s="260" t="str">
        <f t="shared" si="4"/>
        <v>ePCR</v>
      </c>
      <c r="C197" s="260">
        <f>IF(ISTEXT(D197),MAX($C$4:$C196)+1,"")</f>
        <v>185</v>
      </c>
      <c r="D197" s="159" t="s">
        <v>41</v>
      </c>
      <c r="E197" s="313" t="s">
        <v>614</v>
      </c>
      <c r="F197" s="176" t="s">
        <v>43</v>
      </c>
      <c r="G197" s="177"/>
      <c r="H197" s="184"/>
      <c r="I197" s="188">
        <f t="shared" si="19"/>
        <v>0</v>
      </c>
      <c r="J197" s="189">
        <f t="shared" si="20"/>
        <v>0</v>
      </c>
      <c r="K197" s="181">
        <f t="shared" ref="K197:K213" si="21">I197*J197</f>
        <v>0</v>
      </c>
      <c r="L197" s="38"/>
    </row>
    <row r="198" spans="2:12" ht="30" customHeight="1" x14ac:dyDescent="0.3">
      <c r="B198" s="260" t="str">
        <f t="shared" si="4"/>
        <v>ePCR</v>
      </c>
      <c r="C198" s="260">
        <f>IF(ISTEXT(D198),MAX($C$4:$C197)+1,"")</f>
        <v>186</v>
      </c>
      <c r="D198" s="159" t="s">
        <v>41</v>
      </c>
      <c r="E198" s="314" t="s">
        <v>615</v>
      </c>
      <c r="F198" s="176" t="s">
        <v>43</v>
      </c>
      <c r="G198" s="177"/>
      <c r="H198" s="184"/>
      <c r="I198" s="188">
        <f t="shared" si="19"/>
        <v>0</v>
      </c>
      <c r="J198" s="189">
        <f t="shared" si="20"/>
        <v>0</v>
      </c>
      <c r="K198" s="181">
        <f t="shared" si="21"/>
        <v>0</v>
      </c>
      <c r="L198" s="38"/>
    </row>
    <row r="199" spans="2:12" ht="30" customHeight="1" x14ac:dyDescent="0.3">
      <c r="B199" s="260" t="str">
        <f t="shared" si="4"/>
        <v>ePCR</v>
      </c>
      <c r="C199" s="260">
        <f>IF(ISTEXT(D199),MAX($C$4:$C198)+1,"")</f>
        <v>187</v>
      </c>
      <c r="D199" s="159" t="s">
        <v>41</v>
      </c>
      <c r="E199" s="314" t="s">
        <v>616</v>
      </c>
      <c r="F199" s="176" t="s">
        <v>43</v>
      </c>
      <c r="G199" s="177"/>
      <c r="H199" s="184"/>
      <c r="I199" s="188">
        <f t="shared" si="19"/>
        <v>0</v>
      </c>
      <c r="J199" s="189">
        <f t="shared" si="20"/>
        <v>0</v>
      </c>
      <c r="K199" s="181">
        <f t="shared" si="21"/>
        <v>0</v>
      </c>
      <c r="L199" s="38"/>
    </row>
    <row r="200" spans="2:12" ht="30" customHeight="1" x14ac:dyDescent="0.3">
      <c r="B200" s="260" t="str">
        <f t="shared" si="4"/>
        <v>ePCR</v>
      </c>
      <c r="C200" s="260">
        <f>IF(ISTEXT(D200),MAX($C$4:$C199)+1,"")</f>
        <v>188</v>
      </c>
      <c r="D200" s="159" t="s">
        <v>41</v>
      </c>
      <c r="E200" s="306" t="s">
        <v>617</v>
      </c>
      <c r="F200" s="176" t="s">
        <v>43</v>
      </c>
      <c r="G200" s="177"/>
      <c r="H200" s="184"/>
      <c r="I200" s="188">
        <f t="shared" si="19"/>
        <v>0</v>
      </c>
      <c r="J200" s="189">
        <f t="shared" si="20"/>
        <v>0</v>
      </c>
      <c r="K200" s="181">
        <f t="shared" si="21"/>
        <v>0</v>
      </c>
      <c r="L200" s="38"/>
    </row>
    <row r="201" spans="2:12" ht="30" customHeight="1" x14ac:dyDescent="0.3">
      <c r="B201" s="260" t="str">
        <f t="shared" si="4"/>
        <v>ePCR</v>
      </c>
      <c r="C201" s="260">
        <f>IF(ISTEXT(D201),MAX($C$4:$C200)+1,"")</f>
        <v>189</v>
      </c>
      <c r="D201" s="159" t="s">
        <v>41</v>
      </c>
      <c r="E201" s="306" t="s">
        <v>618</v>
      </c>
      <c r="F201" s="176" t="s">
        <v>43</v>
      </c>
      <c r="G201" s="177"/>
      <c r="H201" s="184"/>
      <c r="I201" s="188">
        <f t="shared" si="19"/>
        <v>0</v>
      </c>
      <c r="J201" s="189">
        <f t="shared" si="20"/>
        <v>0</v>
      </c>
      <c r="K201" s="181">
        <f t="shared" si="21"/>
        <v>0</v>
      </c>
      <c r="L201" s="38"/>
    </row>
    <row r="202" spans="2:12" ht="30" customHeight="1" x14ac:dyDescent="0.3">
      <c r="B202" s="260" t="str">
        <f t="shared" si="4"/>
        <v>ePCR</v>
      </c>
      <c r="C202" s="260">
        <f>IF(ISTEXT(D202),MAX($C$4:$C201)+1,"")</f>
        <v>190</v>
      </c>
      <c r="D202" s="159" t="s">
        <v>41</v>
      </c>
      <c r="E202" s="309" t="s">
        <v>619</v>
      </c>
      <c r="F202" s="176" t="s">
        <v>43</v>
      </c>
      <c r="G202" s="177"/>
      <c r="H202" s="184"/>
      <c r="I202" s="188">
        <f t="shared" si="19"/>
        <v>0</v>
      </c>
      <c r="J202" s="189">
        <f t="shared" si="20"/>
        <v>0</v>
      </c>
      <c r="K202" s="181">
        <f t="shared" si="21"/>
        <v>0</v>
      </c>
      <c r="L202" s="38"/>
    </row>
    <row r="203" spans="2:12" ht="30" customHeight="1" x14ac:dyDescent="0.3">
      <c r="B203" s="260" t="str">
        <f t="shared" si="4"/>
        <v>ePCR</v>
      </c>
      <c r="C203" s="260">
        <f>IF(ISTEXT(D203),MAX($C$4:$C202)+1,"")</f>
        <v>191</v>
      </c>
      <c r="D203" s="159" t="s">
        <v>41</v>
      </c>
      <c r="E203" s="306" t="s">
        <v>620</v>
      </c>
      <c r="F203" s="176" t="s">
        <v>43</v>
      </c>
      <c r="G203" s="177"/>
      <c r="H203" s="184"/>
      <c r="I203" s="188">
        <f t="shared" si="19"/>
        <v>0</v>
      </c>
      <c r="J203" s="189">
        <f t="shared" si="20"/>
        <v>0</v>
      </c>
      <c r="K203" s="181">
        <f t="shared" si="21"/>
        <v>0</v>
      </c>
      <c r="L203" s="38"/>
    </row>
    <row r="204" spans="2:12" ht="30" customHeight="1" x14ac:dyDescent="0.3">
      <c r="B204" s="260" t="str">
        <f t="shared" si="4"/>
        <v>ePCR</v>
      </c>
      <c r="C204" s="260">
        <f>IF(ISTEXT(D204),MAX($C$4:$C203)+1,"")</f>
        <v>192</v>
      </c>
      <c r="D204" s="159" t="s">
        <v>41</v>
      </c>
      <c r="E204" s="60" t="s">
        <v>621</v>
      </c>
      <c r="F204" s="176" t="s">
        <v>43</v>
      </c>
      <c r="G204" s="177"/>
      <c r="H204" s="184"/>
      <c r="I204" s="188">
        <f t="shared" si="19"/>
        <v>0</v>
      </c>
      <c r="J204" s="189">
        <f t="shared" si="20"/>
        <v>0</v>
      </c>
      <c r="K204" s="181">
        <f t="shared" si="21"/>
        <v>0</v>
      </c>
      <c r="L204" s="38"/>
    </row>
    <row r="205" spans="2:12" ht="30" customHeight="1" x14ac:dyDescent="0.3">
      <c r="B205" s="260" t="str">
        <f t="shared" si="4"/>
        <v>ePCR</v>
      </c>
      <c r="C205" s="260">
        <f>IF(ISTEXT(D205),MAX($C$4:$C204)+1,"")</f>
        <v>193</v>
      </c>
      <c r="D205" s="159" t="s">
        <v>41</v>
      </c>
      <c r="E205" s="310" t="s">
        <v>622</v>
      </c>
      <c r="F205" s="176" t="s">
        <v>43</v>
      </c>
      <c r="G205" s="177"/>
      <c r="H205" s="184"/>
      <c r="I205" s="188">
        <f t="shared" si="19"/>
        <v>0</v>
      </c>
      <c r="J205" s="189">
        <f t="shared" si="20"/>
        <v>0</v>
      </c>
      <c r="K205" s="181">
        <f t="shared" si="21"/>
        <v>0</v>
      </c>
      <c r="L205" s="38"/>
    </row>
    <row r="206" spans="2:12" ht="30" customHeight="1" x14ac:dyDescent="0.3">
      <c r="B206" s="40" t="str">
        <f>IF(C206="","",$B$4)</f>
        <v/>
      </c>
      <c r="C206" s="40"/>
      <c r="D206" s="3"/>
      <c r="E206" s="312"/>
      <c r="F206" s="115"/>
      <c r="G206" s="31"/>
      <c r="H206" s="31"/>
      <c r="I206" s="31"/>
      <c r="J206" s="31"/>
      <c r="K206" s="181"/>
      <c r="L206" s="31"/>
    </row>
    <row r="207" spans="2:12" ht="30" customHeight="1" x14ac:dyDescent="0.3">
      <c r="B207" s="260" t="str">
        <f t="shared" si="4"/>
        <v>ePCR</v>
      </c>
      <c r="C207" s="260">
        <f>IF(ISTEXT(D207),MAX($C$4:$C206)+1,"")</f>
        <v>194</v>
      </c>
      <c r="D207" s="159" t="s">
        <v>41</v>
      </c>
      <c r="E207" s="315" t="s">
        <v>623</v>
      </c>
      <c r="F207" s="176" t="s">
        <v>43</v>
      </c>
      <c r="G207" s="177"/>
      <c r="H207" s="184"/>
      <c r="I207" s="188">
        <f t="shared" ref="I207:I212" si="22">VLOOKUP($D207,SpecData,2,FALSE)</f>
        <v>0</v>
      </c>
      <c r="J207" s="189">
        <f t="shared" ref="J207:J212" si="23">VLOOKUP($F207,AvailabilityData,2,FALSE)</f>
        <v>0</v>
      </c>
      <c r="K207" s="181">
        <f t="shared" si="21"/>
        <v>0</v>
      </c>
      <c r="L207" s="38"/>
    </row>
    <row r="208" spans="2:12" ht="30" customHeight="1" x14ac:dyDescent="0.3">
      <c r="B208" s="260" t="str">
        <f t="shared" si="4"/>
        <v>ePCR</v>
      </c>
      <c r="C208" s="260">
        <f>IF(ISTEXT(D208),MAX($C$4:$C207)+1,"")</f>
        <v>195</v>
      </c>
      <c r="D208" s="159" t="s">
        <v>41</v>
      </c>
      <c r="E208" s="316" t="s">
        <v>624</v>
      </c>
      <c r="F208" s="176" t="s">
        <v>43</v>
      </c>
      <c r="G208" s="177"/>
      <c r="H208" s="184"/>
      <c r="I208" s="188">
        <f t="shared" si="22"/>
        <v>0</v>
      </c>
      <c r="J208" s="189">
        <f t="shared" si="23"/>
        <v>0</v>
      </c>
      <c r="K208" s="181">
        <f t="shared" si="21"/>
        <v>0</v>
      </c>
      <c r="L208" s="38"/>
    </row>
    <row r="209" spans="2:12" ht="30" customHeight="1" x14ac:dyDescent="0.3">
      <c r="B209" s="260" t="str">
        <f t="shared" si="4"/>
        <v>ePCR</v>
      </c>
      <c r="C209" s="260">
        <f>IF(ISTEXT(D209),MAX($C$4:$C208)+1,"")</f>
        <v>196</v>
      </c>
      <c r="D209" s="159" t="s">
        <v>41</v>
      </c>
      <c r="E209" s="316" t="s">
        <v>625</v>
      </c>
      <c r="F209" s="176" t="s">
        <v>43</v>
      </c>
      <c r="G209" s="177"/>
      <c r="H209" s="184"/>
      <c r="I209" s="188">
        <f t="shared" si="22"/>
        <v>0</v>
      </c>
      <c r="J209" s="189">
        <f t="shared" si="23"/>
        <v>0</v>
      </c>
      <c r="K209" s="181">
        <f t="shared" si="21"/>
        <v>0</v>
      </c>
      <c r="L209" s="38"/>
    </row>
    <row r="210" spans="2:12" ht="30" customHeight="1" x14ac:dyDescent="0.3">
      <c r="B210" s="260" t="str">
        <f t="shared" si="4"/>
        <v>ePCR</v>
      </c>
      <c r="C210" s="260">
        <f>IF(ISTEXT(D210),MAX($C$4:$C209)+1,"")</f>
        <v>197</v>
      </c>
      <c r="D210" s="159" t="s">
        <v>41</v>
      </c>
      <c r="E210" s="316" t="s">
        <v>626</v>
      </c>
      <c r="F210" s="176" t="s">
        <v>43</v>
      </c>
      <c r="G210" s="177"/>
      <c r="H210" s="184"/>
      <c r="I210" s="188">
        <f t="shared" si="22"/>
        <v>0</v>
      </c>
      <c r="J210" s="189">
        <f t="shared" si="23"/>
        <v>0</v>
      </c>
      <c r="K210" s="181">
        <f t="shared" si="21"/>
        <v>0</v>
      </c>
      <c r="L210" s="38"/>
    </row>
    <row r="211" spans="2:12" ht="30" customHeight="1" x14ac:dyDescent="0.3">
      <c r="B211" s="260" t="str">
        <f t="shared" si="4"/>
        <v>ePCR</v>
      </c>
      <c r="C211" s="260">
        <f>IF(ISTEXT(D211),MAX($C$4:$C210)+1,"")</f>
        <v>198</v>
      </c>
      <c r="D211" s="159" t="s">
        <v>41</v>
      </c>
      <c r="E211" s="316" t="s">
        <v>627</v>
      </c>
      <c r="F211" s="176" t="s">
        <v>43</v>
      </c>
      <c r="G211" s="177"/>
      <c r="H211" s="184"/>
      <c r="I211" s="188">
        <f t="shared" si="22"/>
        <v>0</v>
      </c>
      <c r="J211" s="189">
        <f t="shared" si="23"/>
        <v>0</v>
      </c>
      <c r="K211" s="181">
        <f t="shared" si="21"/>
        <v>0</v>
      </c>
      <c r="L211" s="38"/>
    </row>
    <row r="212" spans="2:12" ht="30" customHeight="1" x14ac:dyDescent="0.3">
      <c r="B212" s="260" t="str">
        <f t="shared" si="4"/>
        <v>ePCR</v>
      </c>
      <c r="C212" s="260">
        <f>IF(ISTEXT(D212),MAX($C$4:$C211)+1,"")</f>
        <v>199</v>
      </c>
      <c r="D212" s="159" t="s">
        <v>41</v>
      </c>
      <c r="E212" s="310" t="s">
        <v>628</v>
      </c>
      <c r="F212" s="176" t="s">
        <v>43</v>
      </c>
      <c r="G212" s="192"/>
      <c r="H212" s="193"/>
      <c r="I212" s="190">
        <f t="shared" si="22"/>
        <v>0</v>
      </c>
      <c r="J212" s="191">
        <f t="shared" si="23"/>
        <v>0</v>
      </c>
      <c r="K212" s="181">
        <f t="shared" si="21"/>
        <v>0</v>
      </c>
      <c r="L212" s="39"/>
    </row>
    <row r="213" spans="2:12" ht="30" customHeight="1" x14ac:dyDescent="0.3">
      <c r="B213" s="260" t="str">
        <f t="shared" si="4"/>
        <v>ePCR</v>
      </c>
      <c r="C213" s="260">
        <f>IF(ISTEXT(D213),MAX($C$4:$C212)+1,"")</f>
        <v>200</v>
      </c>
      <c r="D213" s="159" t="s">
        <v>41</v>
      </c>
      <c r="E213" s="316" t="s">
        <v>629</v>
      </c>
      <c r="F213" s="176" t="s">
        <v>43</v>
      </c>
      <c r="G213" s="192"/>
      <c r="H213" s="193"/>
      <c r="I213" s="190">
        <f t="shared" si="1"/>
        <v>0</v>
      </c>
      <c r="J213" s="191">
        <f t="shared" si="2"/>
        <v>0</v>
      </c>
      <c r="K213" s="181">
        <f t="shared" si="21"/>
        <v>0</v>
      </c>
      <c r="L213" s="39"/>
    </row>
    <row r="214" spans="2:12" ht="9.6" customHeight="1" x14ac:dyDescent="0.3"/>
  </sheetData>
  <sheetProtection algorithmName="SHA-512" hashValue="x/xYDq3SGlWZhMlauLAwiVecd24PdnvjQKsyc7EkfQINM5+DmJQ8J8siA5eA4BHwHSwl4DzmakJpICH0Fjf7GQ==" saltValue="m6LO0fPFpDxgwa7s7Sf7TA==" spinCount="100000" sheet="1" selectLockedCells="1"/>
  <conditionalFormatting sqref="D4:D21 D23:D30">
    <cfRule type="cellIs" dxfId="197" priority="13" operator="equal">
      <formula>"Important"</formula>
    </cfRule>
    <cfRule type="cellIs" dxfId="196" priority="14" operator="equal">
      <formula>"Crucial"</formula>
    </cfRule>
    <cfRule type="cellIs" dxfId="195" priority="15" operator="equal">
      <formula>"N/A"</formula>
    </cfRule>
  </conditionalFormatting>
  <conditionalFormatting sqref="D32:D48">
    <cfRule type="cellIs" dxfId="194" priority="4" operator="equal">
      <formula>"Important"</formula>
    </cfRule>
    <cfRule type="cellIs" dxfId="193" priority="5" operator="equal">
      <formula>"Crucial"</formula>
    </cfRule>
    <cfRule type="cellIs" dxfId="192" priority="6" operator="equal">
      <formula>"N/A"</formula>
    </cfRule>
  </conditionalFormatting>
  <conditionalFormatting sqref="D50:D73 D75:D81 D84:D99 D101:D166 D168:D192 D194:D205 D207:D213">
    <cfRule type="cellIs" dxfId="191" priority="1" operator="equal">
      <formula>"Important"</formula>
    </cfRule>
    <cfRule type="cellIs" dxfId="190" priority="2" operator="equal">
      <formula>"Crucial"</formula>
    </cfRule>
    <cfRule type="cellIs" dxfId="189" priority="3" operator="equal">
      <formula>"N/A"</formula>
    </cfRule>
  </conditionalFormatting>
  <conditionalFormatting sqref="F4:F48">
    <cfRule type="cellIs" dxfId="188" priority="46" operator="equal">
      <formula>"Function Not Available"</formula>
    </cfRule>
    <cfRule type="cellIs" dxfId="187" priority="47" operator="equal">
      <formula>"Function Available"</formula>
    </cfRule>
    <cfRule type="cellIs" dxfId="186" priority="48" operator="equal">
      <formula>"Exception"</formula>
    </cfRule>
  </conditionalFormatting>
  <conditionalFormatting sqref="F50:F81">
    <cfRule type="cellIs" dxfId="185" priority="37" operator="equal">
      <formula>"Function Not Available"</formula>
    </cfRule>
    <cfRule type="cellIs" dxfId="184" priority="38" operator="equal">
      <formula>"Function Available"</formula>
    </cfRule>
    <cfRule type="cellIs" dxfId="183" priority="39" operator="equal">
      <formula>"Exception"</formula>
    </cfRule>
  </conditionalFormatting>
  <conditionalFormatting sqref="F83:F213">
    <cfRule type="cellIs" dxfId="182" priority="19" operator="equal">
      <formula>"Function Not Available"</formula>
    </cfRule>
    <cfRule type="cellIs" dxfId="181" priority="20" operator="equal">
      <formula>"Function Available"</formula>
    </cfRule>
    <cfRule type="cellIs" dxfId="180" priority="21" operator="equal">
      <formula>"Exception"</formula>
    </cfRule>
  </conditionalFormatting>
  <dataValidations count="3">
    <dataValidation type="list" allowBlank="1" showInputMessage="1" showErrorMessage="1" errorTitle="Invalid specification type" error="Please enter a Specification type from the drop-down list." sqref="F6:F21 F23:F30 F32:F73 F75:F82 F84:F99 F101:F166 F168:F192 F194:F205 F207:F213" xr:uid="{00000000-0002-0000-1000-000000000000}">
      <formula1>AvailabilityType</formula1>
    </dataValidation>
    <dataValidation type="list" allowBlank="1" showInputMessage="1" showErrorMessage="1" sqref="D4:D21 D23:D30 D32:D48 D50:D73 D75:D81 D194:D205 D84:D99 D101:D166 D168:D192 D207:D213" xr:uid="{BF1826FE-EA43-40AD-B6E2-B8E44A4DD08C}">
      <formula1>SpecType</formula1>
    </dataValidation>
    <dataValidation type="list" allowBlank="1" showInputMessage="1" showErrorMessage="1" sqref="F4:F5" xr:uid="{00000000-0002-0000-10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A1:M79"/>
  <sheetViews>
    <sheetView showGridLines="0" zoomScale="90" zoomScaleNormal="9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3.109375" style="35" hidden="1" customWidth="1"/>
    <col min="8" max="10" width="13.109375" hidden="1" customWidth="1"/>
    <col min="11" max="11" width="12.6640625" hidden="1" customWidth="1"/>
    <col min="12" max="12" width="49.44140625" customWidth="1"/>
    <col min="13" max="13" width="8.6640625" customWidth="1"/>
    <col min="14" max="16384" width="8.6640625" hidden="1"/>
  </cols>
  <sheetData>
    <row r="1" spans="2:12" ht="4.2" customHeight="1" thickBot="1" x14ac:dyDescent="0.35"/>
    <row r="2" spans="2:12" ht="129" customHeight="1" thickBot="1" x14ac:dyDescent="0.35">
      <c r="B2" s="102" t="s">
        <v>44</v>
      </c>
      <c r="C2" s="102" t="s">
        <v>45</v>
      </c>
      <c r="D2" s="102" t="s">
        <v>46</v>
      </c>
      <c r="E2" s="102" t="s">
        <v>630</v>
      </c>
      <c r="F2" s="102" t="s">
        <v>42</v>
      </c>
      <c r="G2" s="318" t="s">
        <v>48</v>
      </c>
      <c r="H2" s="318" t="s">
        <v>49</v>
      </c>
      <c r="I2" s="319" t="s">
        <v>50</v>
      </c>
      <c r="J2" s="319" t="s">
        <v>51</v>
      </c>
      <c r="K2" s="320" t="s">
        <v>14</v>
      </c>
      <c r="L2" s="102" t="s">
        <v>52</v>
      </c>
    </row>
    <row r="3" spans="2:12" ht="16.2" thickBot="1" x14ac:dyDescent="0.35">
      <c r="B3" s="321" t="s">
        <v>631</v>
      </c>
      <c r="C3" s="321"/>
      <c r="D3" s="321"/>
      <c r="E3" s="322"/>
      <c r="F3" s="321"/>
      <c r="G3" s="323" t="s">
        <v>54</v>
      </c>
      <c r="H3" s="324">
        <f>COUNTA(D4:D462)</f>
        <v>62</v>
      </c>
      <c r="I3" s="24"/>
      <c r="J3" s="25" t="s">
        <v>55</v>
      </c>
      <c r="K3" s="26">
        <f>SUM(K4:K462)</f>
        <v>0</v>
      </c>
      <c r="L3" s="321"/>
    </row>
    <row r="4" spans="2:12" ht="55.2" x14ac:dyDescent="0.3">
      <c r="B4" s="260" t="s">
        <v>632</v>
      </c>
      <c r="C4" s="260">
        <v>1</v>
      </c>
      <c r="D4" s="261" t="s">
        <v>9</v>
      </c>
      <c r="E4" s="63" t="s">
        <v>633</v>
      </c>
      <c r="F4" s="182" t="s">
        <v>43</v>
      </c>
      <c r="G4" s="328" t="s">
        <v>58</v>
      </c>
      <c r="H4" s="193">
        <f>COUNTIF(F4:F462,"Select from Drop Down")</f>
        <v>62</v>
      </c>
      <c r="I4" s="222">
        <f>VLOOKUP($D4,SpecData,2,FALSE)</f>
        <v>3</v>
      </c>
      <c r="J4" s="223">
        <f>VLOOKUP($F4,AvailabilityData,2,FALSE)</f>
        <v>0</v>
      </c>
      <c r="K4" s="190">
        <f>I4*J4</f>
        <v>0</v>
      </c>
      <c r="L4" s="75"/>
    </row>
    <row r="5" spans="2:12" ht="15.6" x14ac:dyDescent="0.3">
      <c r="B5" s="67" t="s">
        <v>634</v>
      </c>
      <c r="C5" s="67"/>
      <c r="D5" s="67"/>
      <c r="E5" s="67"/>
      <c r="F5" s="67"/>
      <c r="G5" s="76"/>
      <c r="H5" s="76"/>
      <c r="I5" s="76"/>
      <c r="J5" s="76"/>
      <c r="K5" s="76"/>
      <c r="L5" s="76"/>
    </row>
    <row r="6" spans="2:12" ht="30" customHeight="1" x14ac:dyDescent="0.3">
      <c r="B6" s="37" t="str">
        <f>IF(C6="","",$B$4)</f>
        <v>IExtDB</v>
      </c>
      <c r="C6" s="2">
        <f>IF(ISTEXT(D6),MAX($C$4:$C4)+1,"")</f>
        <v>2</v>
      </c>
      <c r="D6" s="159" t="s">
        <v>11</v>
      </c>
      <c r="E6" s="55" t="s">
        <v>635</v>
      </c>
      <c r="F6" s="176" t="s">
        <v>43</v>
      </c>
      <c r="G6" s="177" t="s">
        <v>60</v>
      </c>
      <c r="H6" s="178">
        <f>COUNTIF(F4:F462,"Function Available")</f>
        <v>0</v>
      </c>
      <c r="I6" s="179">
        <f>VLOOKUP($D6,SpecData,2,FALSE)</f>
        <v>1</v>
      </c>
      <c r="J6" s="180">
        <f>VLOOKUP($F6,AvailabilityData,2,FALSE)</f>
        <v>0</v>
      </c>
      <c r="K6" s="188">
        <f t="shared" ref="K6:K58" si="0">I6*J6</f>
        <v>0</v>
      </c>
      <c r="L6" s="38"/>
    </row>
    <row r="7" spans="2:12" ht="30" customHeight="1" x14ac:dyDescent="0.3">
      <c r="B7" s="37" t="str">
        <f>IF(C7="","",$B$4)</f>
        <v>IExtDB</v>
      </c>
      <c r="C7" s="2">
        <f>IF(ISTEXT(D7),MAX($C$4:$C6)+1,"")</f>
        <v>3</v>
      </c>
      <c r="D7" s="159" t="s">
        <v>11</v>
      </c>
      <c r="E7" s="283" t="s">
        <v>636</v>
      </c>
      <c r="F7" s="176" t="s">
        <v>43</v>
      </c>
      <c r="G7" s="177" t="s">
        <v>62</v>
      </c>
      <c r="H7" s="184">
        <f>COUNTIF(F4:F462,"Function Not Available")</f>
        <v>0</v>
      </c>
      <c r="I7" s="179">
        <f t="shared" ref="I7:I63" si="1">VLOOKUP($D7,SpecData,2,FALSE)</f>
        <v>1</v>
      </c>
      <c r="J7" s="180">
        <f t="shared" ref="J7:J63" si="2">VLOOKUP($F7,AvailabilityData,2,FALSE)</f>
        <v>0</v>
      </c>
      <c r="K7" s="188">
        <f t="shared" si="0"/>
        <v>0</v>
      </c>
      <c r="L7" s="38"/>
    </row>
    <row r="8" spans="2:12" ht="30" customHeight="1" x14ac:dyDescent="0.3">
      <c r="B8" s="37" t="str">
        <f t="shared" ref="B8:B38" si="3">IF(C8="","",$B$4)</f>
        <v>IExtDB</v>
      </c>
      <c r="C8" s="2">
        <f>IF(ISTEXT(D8),MAX($C$4:$C7)+1,"")</f>
        <v>4</v>
      </c>
      <c r="D8" s="159" t="s">
        <v>11</v>
      </c>
      <c r="E8" s="55" t="s">
        <v>637</v>
      </c>
      <c r="F8" s="176" t="s">
        <v>43</v>
      </c>
      <c r="G8" s="177" t="s">
        <v>64</v>
      </c>
      <c r="H8" s="184">
        <f>COUNTIF(F4:F462,"Exception")</f>
        <v>0</v>
      </c>
      <c r="I8" s="179">
        <f t="shared" si="1"/>
        <v>1</v>
      </c>
      <c r="J8" s="180">
        <f t="shared" si="2"/>
        <v>0</v>
      </c>
      <c r="K8" s="188">
        <f t="shared" si="0"/>
        <v>0</v>
      </c>
      <c r="L8" s="38"/>
    </row>
    <row r="9" spans="2:12" ht="30" customHeight="1" x14ac:dyDescent="0.3">
      <c r="B9" s="40" t="str">
        <f t="shared" si="3"/>
        <v/>
      </c>
      <c r="C9" s="40" t="str">
        <f>IF(ISTEXT(D9),MAX($C$6:$C8)+1,"")</f>
        <v/>
      </c>
      <c r="D9" s="3"/>
      <c r="E9" s="64" t="s">
        <v>638</v>
      </c>
      <c r="F9" s="115"/>
      <c r="G9" s="76"/>
      <c r="H9" s="76"/>
      <c r="I9" s="76"/>
      <c r="J9" s="76"/>
      <c r="K9" s="76"/>
      <c r="L9" s="76"/>
    </row>
    <row r="10" spans="2:12" ht="30" customHeight="1" x14ac:dyDescent="0.3">
      <c r="B10" s="37" t="str">
        <f t="shared" si="3"/>
        <v>IExtDB</v>
      </c>
      <c r="C10" s="2">
        <f>IF(ISTEXT(D10),MAX($C$4:$C8)+1,"")</f>
        <v>5</v>
      </c>
      <c r="D10" s="159" t="s">
        <v>11</v>
      </c>
      <c r="E10" s="82" t="s">
        <v>639</v>
      </c>
      <c r="F10" s="176" t="s">
        <v>43</v>
      </c>
      <c r="G10" s="177" t="s">
        <v>66</v>
      </c>
      <c r="H10" s="185">
        <f>COUNTIFS(D:D,"=Crucial",F:F,"=Select From Drop Down")</f>
        <v>1</v>
      </c>
      <c r="I10" s="179">
        <f t="shared" si="1"/>
        <v>1</v>
      </c>
      <c r="J10" s="180">
        <f t="shared" si="2"/>
        <v>0</v>
      </c>
      <c r="K10" s="188">
        <f t="shared" si="0"/>
        <v>0</v>
      </c>
      <c r="L10" s="38"/>
    </row>
    <row r="11" spans="2:12" ht="30" customHeight="1" x14ac:dyDescent="0.3">
      <c r="B11" s="37" t="str">
        <f t="shared" si="3"/>
        <v>IExtDB</v>
      </c>
      <c r="C11" s="2">
        <f>IF(ISTEXT(D11),MAX($C$4:$C10)+1,"")</f>
        <v>6</v>
      </c>
      <c r="D11" s="159" t="s">
        <v>11</v>
      </c>
      <c r="E11" s="81" t="s">
        <v>640</v>
      </c>
      <c r="F11" s="176" t="s">
        <v>43</v>
      </c>
      <c r="G11" s="177" t="s">
        <v>68</v>
      </c>
      <c r="H11" s="185">
        <f>COUNTIFS(D:D,"=Crucial",F:F,"=Function Available")</f>
        <v>0</v>
      </c>
      <c r="I11" s="179">
        <f t="shared" si="1"/>
        <v>1</v>
      </c>
      <c r="J11" s="180">
        <f t="shared" si="2"/>
        <v>0</v>
      </c>
      <c r="K11" s="188">
        <f t="shared" si="0"/>
        <v>0</v>
      </c>
      <c r="L11" s="38"/>
    </row>
    <row r="12" spans="2:12" ht="41.4" x14ac:dyDescent="0.3">
      <c r="B12" s="37" t="str">
        <f t="shared" si="3"/>
        <v>IExtDB</v>
      </c>
      <c r="C12" s="2">
        <f>IF(ISTEXT(D12),MAX($C$4:$C11)+1,"")</f>
        <v>7</v>
      </c>
      <c r="D12" s="159" t="s">
        <v>11</v>
      </c>
      <c r="E12" s="55" t="s">
        <v>641</v>
      </c>
      <c r="F12" s="176" t="s">
        <v>43</v>
      </c>
      <c r="G12" s="177" t="s">
        <v>70</v>
      </c>
      <c r="H12" s="185">
        <f>COUNTIFS(D:D,"=Crucial",F:F,"=Function Not Available")</f>
        <v>0</v>
      </c>
      <c r="I12" s="179">
        <f t="shared" si="1"/>
        <v>1</v>
      </c>
      <c r="J12" s="180">
        <f t="shared" si="2"/>
        <v>0</v>
      </c>
      <c r="K12" s="188">
        <f t="shared" si="0"/>
        <v>0</v>
      </c>
      <c r="L12" s="38"/>
    </row>
    <row r="13" spans="2:12" ht="41.4" x14ac:dyDescent="0.3">
      <c r="B13" s="40" t="str">
        <f t="shared" ref="B13" si="4">IF(C13="","",$B$4)</f>
        <v/>
      </c>
      <c r="C13" s="40" t="str">
        <f>IF(ISTEXT(D13),MAX($C$6:$C12)+1,"")</f>
        <v/>
      </c>
      <c r="D13" s="3"/>
      <c r="E13" s="64" t="s">
        <v>642</v>
      </c>
      <c r="F13" s="115"/>
      <c r="G13" s="76"/>
      <c r="H13" s="76"/>
      <c r="I13" s="76"/>
      <c r="J13" s="76"/>
      <c r="K13" s="76"/>
      <c r="L13" s="76"/>
    </row>
    <row r="14" spans="2:12" ht="30" customHeight="1" x14ac:dyDescent="0.3">
      <c r="B14" s="37" t="str">
        <f t="shared" si="3"/>
        <v>IExtDB</v>
      </c>
      <c r="C14" s="2">
        <f>IF(ISTEXT(D14),MAX($C$4:$C12)+1,"")</f>
        <v>8</v>
      </c>
      <c r="D14" s="159" t="s">
        <v>11</v>
      </c>
      <c r="E14" s="81" t="s">
        <v>643</v>
      </c>
      <c r="F14" s="176" t="s">
        <v>43</v>
      </c>
      <c r="G14" s="177" t="s">
        <v>72</v>
      </c>
      <c r="H14" s="185">
        <f>COUNTIFS(D:D,"=Crucial",F:F,"=Exception")</f>
        <v>0</v>
      </c>
      <c r="I14" s="179">
        <f t="shared" si="1"/>
        <v>1</v>
      </c>
      <c r="J14" s="180">
        <f t="shared" si="2"/>
        <v>0</v>
      </c>
      <c r="K14" s="188">
        <f t="shared" si="0"/>
        <v>0</v>
      </c>
      <c r="L14" s="38"/>
    </row>
    <row r="15" spans="2:12" ht="30" customHeight="1" x14ac:dyDescent="0.3">
      <c r="B15" s="37" t="str">
        <f t="shared" si="3"/>
        <v>IExtDB</v>
      </c>
      <c r="C15" s="2">
        <f>IF(ISTEXT(D15),MAX($C$4:$C14)+1,"")</f>
        <v>9</v>
      </c>
      <c r="D15" s="159" t="s">
        <v>11</v>
      </c>
      <c r="E15" s="81" t="s">
        <v>644</v>
      </c>
      <c r="F15" s="176" t="s">
        <v>43</v>
      </c>
      <c r="G15" s="186" t="s">
        <v>74</v>
      </c>
      <c r="H15" s="187">
        <f>COUNTIFS(D:D,"=Important",F:F,"=Select From Drop Down")</f>
        <v>0</v>
      </c>
      <c r="I15" s="179">
        <f t="shared" si="1"/>
        <v>1</v>
      </c>
      <c r="J15" s="180">
        <f t="shared" si="2"/>
        <v>0</v>
      </c>
      <c r="K15" s="188">
        <f t="shared" si="0"/>
        <v>0</v>
      </c>
      <c r="L15" s="38"/>
    </row>
    <row r="16" spans="2:12" ht="30" customHeight="1" x14ac:dyDescent="0.3">
      <c r="B16" s="37" t="str">
        <f t="shared" si="3"/>
        <v>IExtDB</v>
      </c>
      <c r="C16" s="2">
        <f>IF(ISTEXT(D16),MAX($C$4:$C15)+1,"")</f>
        <v>10</v>
      </c>
      <c r="D16" s="159" t="s">
        <v>11</v>
      </c>
      <c r="E16" s="81" t="s">
        <v>645</v>
      </c>
      <c r="F16" s="176" t="s">
        <v>43</v>
      </c>
      <c r="G16" s="186" t="s">
        <v>76</v>
      </c>
      <c r="H16" s="187">
        <f>COUNTIFS(D:D,"=Important",F:F,"=Function Available")</f>
        <v>0</v>
      </c>
      <c r="I16" s="179">
        <f t="shared" si="1"/>
        <v>1</v>
      </c>
      <c r="J16" s="180">
        <f t="shared" si="2"/>
        <v>0</v>
      </c>
      <c r="K16" s="188">
        <f t="shared" si="0"/>
        <v>0</v>
      </c>
      <c r="L16" s="38"/>
    </row>
    <row r="17" spans="2:12" ht="30" customHeight="1" x14ac:dyDescent="0.3">
      <c r="B17" s="37" t="str">
        <f t="shared" si="3"/>
        <v>IExtDB</v>
      </c>
      <c r="C17" s="2">
        <f>IF(ISTEXT(D17),MAX($C$4:$C16)+1,"")</f>
        <v>11</v>
      </c>
      <c r="D17" s="159" t="s">
        <v>11</v>
      </c>
      <c r="E17" s="81" t="s">
        <v>646</v>
      </c>
      <c r="F17" s="176" t="s">
        <v>43</v>
      </c>
      <c r="G17" s="177" t="s">
        <v>78</v>
      </c>
      <c r="H17" s="185">
        <f>COUNTIFS(D:D,"=Important",F:F,"=Function Not Available")</f>
        <v>0</v>
      </c>
      <c r="I17" s="188">
        <f t="shared" si="1"/>
        <v>1</v>
      </c>
      <c r="J17" s="189">
        <f t="shared" si="2"/>
        <v>0</v>
      </c>
      <c r="K17" s="188">
        <f t="shared" si="0"/>
        <v>0</v>
      </c>
      <c r="L17" s="38"/>
    </row>
    <row r="18" spans="2:12" ht="30" customHeight="1" x14ac:dyDescent="0.3">
      <c r="B18" s="37" t="str">
        <f t="shared" si="3"/>
        <v>IExtDB</v>
      </c>
      <c r="C18" s="2">
        <f>IF(ISTEXT(D18),MAX($C$4:$C17)+1,"")</f>
        <v>12</v>
      </c>
      <c r="D18" s="159" t="s">
        <v>11</v>
      </c>
      <c r="E18" s="325" t="s">
        <v>647</v>
      </c>
      <c r="F18" s="176" t="s">
        <v>43</v>
      </c>
      <c r="G18" s="177" t="s">
        <v>80</v>
      </c>
      <c r="H18" s="185">
        <f>COUNTIFS(D:D,"=Important",F:F,"=Exception")</f>
        <v>0</v>
      </c>
      <c r="I18" s="188">
        <f t="shared" si="1"/>
        <v>1</v>
      </c>
      <c r="J18" s="189">
        <f t="shared" si="2"/>
        <v>0</v>
      </c>
      <c r="K18" s="188">
        <f t="shared" si="0"/>
        <v>0</v>
      </c>
      <c r="L18" s="38"/>
    </row>
    <row r="19" spans="2:12" ht="30" customHeight="1" x14ac:dyDescent="0.3">
      <c r="B19" s="37" t="str">
        <f t="shared" si="3"/>
        <v>IExtDB</v>
      </c>
      <c r="C19" s="2">
        <f>IF(ISTEXT(D19),MAX($C$4:$C18)+1,"")</f>
        <v>13</v>
      </c>
      <c r="D19" s="159" t="s">
        <v>11</v>
      </c>
      <c r="E19" s="325" t="s">
        <v>648</v>
      </c>
      <c r="F19" s="176" t="s">
        <v>43</v>
      </c>
      <c r="G19" s="177" t="s">
        <v>82</v>
      </c>
      <c r="H19" s="185">
        <f>COUNTIFS(D:D,"=Minimal",F:F,"=Select From Drop Down")</f>
        <v>61</v>
      </c>
      <c r="I19" s="188">
        <f t="shared" si="1"/>
        <v>1</v>
      </c>
      <c r="J19" s="189">
        <f t="shared" si="2"/>
        <v>0</v>
      </c>
      <c r="K19" s="188">
        <f t="shared" si="0"/>
        <v>0</v>
      </c>
      <c r="L19" s="38"/>
    </row>
    <row r="20" spans="2:12" ht="30" customHeight="1" x14ac:dyDescent="0.3">
      <c r="B20" s="37" t="str">
        <f t="shared" si="3"/>
        <v>IExtDB</v>
      </c>
      <c r="C20" s="2">
        <f>IF(ISTEXT(D20),MAX($C$4:$C19)+1,"")</f>
        <v>14</v>
      </c>
      <c r="D20" s="159" t="s">
        <v>11</v>
      </c>
      <c r="E20" s="325" t="s">
        <v>649</v>
      </c>
      <c r="F20" s="176" t="s">
        <v>43</v>
      </c>
      <c r="G20" s="177" t="s">
        <v>84</v>
      </c>
      <c r="H20" s="185">
        <f>COUNTIFS(D:D,"=Minimal",F:F,"=Function Available")</f>
        <v>0</v>
      </c>
      <c r="I20" s="188">
        <f t="shared" si="1"/>
        <v>1</v>
      </c>
      <c r="J20" s="189">
        <f t="shared" si="2"/>
        <v>0</v>
      </c>
      <c r="K20" s="188">
        <f t="shared" si="0"/>
        <v>0</v>
      </c>
      <c r="L20" s="38"/>
    </row>
    <row r="21" spans="2:12" ht="30" customHeight="1" x14ac:dyDescent="0.3">
      <c r="B21" s="37" t="str">
        <f t="shared" si="3"/>
        <v>IExtDB</v>
      </c>
      <c r="C21" s="2">
        <f>IF(ISTEXT(D21),MAX($C$4:$C20)+1,"")</f>
        <v>15</v>
      </c>
      <c r="D21" s="159" t="s">
        <v>11</v>
      </c>
      <c r="E21" s="325" t="s">
        <v>650</v>
      </c>
      <c r="F21" s="176" t="s">
        <v>43</v>
      </c>
      <c r="G21" s="177" t="s">
        <v>86</v>
      </c>
      <c r="H21" s="185">
        <f>COUNTIFS(D:D,"=Minimal",F:F,"=Function Not Available")</f>
        <v>0</v>
      </c>
      <c r="I21" s="188">
        <f t="shared" si="1"/>
        <v>1</v>
      </c>
      <c r="J21" s="189">
        <f t="shared" si="2"/>
        <v>0</v>
      </c>
      <c r="K21" s="188">
        <f t="shared" si="0"/>
        <v>0</v>
      </c>
      <c r="L21" s="38"/>
    </row>
    <row r="22" spans="2:12" ht="30" customHeight="1" x14ac:dyDescent="0.3">
      <c r="B22" s="37" t="str">
        <f t="shared" si="3"/>
        <v>IExtDB</v>
      </c>
      <c r="C22" s="2">
        <f>IF(ISTEXT(D22),MAX($C$4:$C21)+1,"")</f>
        <v>16</v>
      </c>
      <c r="D22" s="159" t="s">
        <v>11</v>
      </c>
      <c r="E22" s="325" t="s">
        <v>651</v>
      </c>
      <c r="F22" s="176" t="s">
        <v>43</v>
      </c>
      <c r="G22" s="177" t="s">
        <v>88</v>
      </c>
      <c r="H22" s="185">
        <f>COUNTIFS(D:D,"=Minimal",F:F,"=Exception")</f>
        <v>0</v>
      </c>
      <c r="I22" s="188">
        <f t="shared" si="1"/>
        <v>1</v>
      </c>
      <c r="J22" s="189">
        <f t="shared" si="2"/>
        <v>0</v>
      </c>
      <c r="K22" s="188">
        <f t="shared" si="0"/>
        <v>0</v>
      </c>
      <c r="L22" s="38"/>
    </row>
    <row r="23" spans="2:12" ht="30" customHeight="1" x14ac:dyDescent="0.3">
      <c r="B23" s="37" t="str">
        <f t="shared" si="3"/>
        <v>IExtDB</v>
      </c>
      <c r="C23" s="2">
        <f>IF(ISTEXT(D23),MAX($C$4:$C22)+1,"")</f>
        <v>17</v>
      </c>
      <c r="D23" s="159" t="s">
        <v>11</v>
      </c>
      <c r="E23" s="325" t="s">
        <v>652</v>
      </c>
      <c r="F23" s="176" t="s">
        <v>43</v>
      </c>
      <c r="G23" s="177"/>
      <c r="H23" s="184"/>
      <c r="I23" s="188">
        <f t="shared" si="1"/>
        <v>1</v>
      </c>
      <c r="J23" s="189">
        <f t="shared" si="2"/>
        <v>0</v>
      </c>
      <c r="K23" s="188">
        <f t="shared" si="0"/>
        <v>0</v>
      </c>
      <c r="L23" s="38"/>
    </row>
    <row r="24" spans="2:12" ht="30" customHeight="1" x14ac:dyDescent="0.3">
      <c r="B24" s="37" t="str">
        <f t="shared" si="3"/>
        <v>IExtDB</v>
      </c>
      <c r="C24" s="2">
        <f>IF(ISTEXT(D24),MAX($C$4:$C23)+1,"")</f>
        <v>18</v>
      </c>
      <c r="D24" s="159" t="s">
        <v>11</v>
      </c>
      <c r="E24" s="325" t="s">
        <v>653</v>
      </c>
      <c r="F24" s="176" t="s">
        <v>43</v>
      </c>
      <c r="G24" s="177"/>
      <c r="H24" s="184"/>
      <c r="I24" s="188">
        <f t="shared" si="1"/>
        <v>1</v>
      </c>
      <c r="J24" s="189">
        <f t="shared" si="2"/>
        <v>0</v>
      </c>
      <c r="K24" s="188">
        <f t="shared" si="0"/>
        <v>0</v>
      </c>
      <c r="L24" s="38"/>
    </row>
    <row r="25" spans="2:12" ht="30" customHeight="1" x14ac:dyDescent="0.3">
      <c r="B25" s="37" t="str">
        <f t="shared" si="3"/>
        <v>IExtDB</v>
      </c>
      <c r="C25" s="2">
        <f>IF(ISTEXT(D25),MAX($C$4:$C24)+1,"")</f>
        <v>19</v>
      </c>
      <c r="D25" s="159" t="s">
        <v>11</v>
      </c>
      <c r="E25" s="325" t="s">
        <v>654</v>
      </c>
      <c r="F25" s="176" t="s">
        <v>43</v>
      </c>
      <c r="G25" s="177"/>
      <c r="H25" s="184"/>
      <c r="I25" s="188">
        <f t="shared" si="1"/>
        <v>1</v>
      </c>
      <c r="J25" s="189">
        <f t="shared" si="2"/>
        <v>0</v>
      </c>
      <c r="K25" s="188">
        <f t="shared" si="0"/>
        <v>0</v>
      </c>
      <c r="L25" s="38"/>
    </row>
    <row r="26" spans="2:12" ht="30" customHeight="1" x14ac:dyDescent="0.3">
      <c r="B26" s="37" t="str">
        <f t="shared" si="3"/>
        <v>IExtDB</v>
      </c>
      <c r="C26" s="2">
        <f>IF(ISTEXT(D26),MAX($C$4:$C25)+1,"")</f>
        <v>20</v>
      </c>
      <c r="D26" s="159" t="s">
        <v>11</v>
      </c>
      <c r="E26" s="81" t="s">
        <v>655</v>
      </c>
      <c r="F26" s="176" t="s">
        <v>43</v>
      </c>
      <c r="G26" s="177"/>
      <c r="H26" s="184"/>
      <c r="I26" s="188">
        <f t="shared" si="1"/>
        <v>1</v>
      </c>
      <c r="J26" s="189">
        <f t="shared" si="2"/>
        <v>0</v>
      </c>
      <c r="K26" s="188">
        <f t="shared" si="0"/>
        <v>0</v>
      </c>
      <c r="L26" s="38"/>
    </row>
    <row r="27" spans="2:12" ht="30" customHeight="1" x14ac:dyDescent="0.3">
      <c r="B27" s="37" t="str">
        <f t="shared" si="3"/>
        <v>IExtDB</v>
      </c>
      <c r="C27" s="2">
        <f>IF(ISTEXT(D27),MAX($C$4:$C26)+1,"")</f>
        <v>21</v>
      </c>
      <c r="D27" s="159" t="s">
        <v>11</v>
      </c>
      <c r="E27" s="81" t="s">
        <v>656</v>
      </c>
      <c r="F27" s="176" t="s">
        <v>43</v>
      </c>
      <c r="G27" s="192"/>
      <c r="H27" s="193"/>
      <c r="I27" s="190">
        <f t="shared" si="1"/>
        <v>1</v>
      </c>
      <c r="J27" s="191">
        <f t="shared" si="2"/>
        <v>0</v>
      </c>
      <c r="K27" s="188">
        <f t="shared" si="0"/>
        <v>0</v>
      </c>
      <c r="L27" s="38"/>
    </row>
    <row r="28" spans="2:12" ht="30" customHeight="1" x14ac:dyDescent="0.3">
      <c r="B28" s="37" t="str">
        <f t="shared" si="3"/>
        <v>IExtDB</v>
      </c>
      <c r="C28" s="2">
        <f>IF(ISTEXT(D28),MAX($C$4:$C27)+1,"")</f>
        <v>22</v>
      </c>
      <c r="D28" s="159" t="s">
        <v>11</v>
      </c>
      <c r="E28" s="81" t="s">
        <v>657</v>
      </c>
      <c r="F28" s="176" t="s">
        <v>43</v>
      </c>
      <c r="G28" s="186"/>
      <c r="H28" s="234"/>
      <c r="I28" s="179">
        <f t="shared" si="1"/>
        <v>1</v>
      </c>
      <c r="J28" s="180">
        <f t="shared" si="2"/>
        <v>0</v>
      </c>
      <c r="K28" s="188">
        <f t="shared" si="0"/>
        <v>0</v>
      </c>
      <c r="L28" s="38"/>
    </row>
    <row r="29" spans="2:12" ht="15.6" hidden="1" x14ac:dyDescent="0.3">
      <c r="B29" s="67" t="s">
        <v>658</v>
      </c>
      <c r="C29" s="67"/>
      <c r="D29" s="67"/>
      <c r="E29" s="67"/>
      <c r="F29" s="67"/>
      <c r="G29" s="76"/>
      <c r="H29" s="76"/>
      <c r="I29" s="76"/>
      <c r="J29" s="76"/>
      <c r="K29" s="76"/>
      <c r="L29" s="76"/>
    </row>
    <row r="30" spans="2:12" ht="30" hidden="1" customHeight="1" x14ac:dyDescent="0.3">
      <c r="B30" s="37" t="str">
        <f t="shared" si="3"/>
        <v>IExtDB</v>
      </c>
      <c r="C30" s="2">
        <f>IF(ISTEXT(D30),MAX($C$4:$C28)+1,"")</f>
        <v>23</v>
      </c>
      <c r="D30" s="159" t="s">
        <v>11</v>
      </c>
      <c r="E30" s="55" t="s">
        <v>659</v>
      </c>
      <c r="F30" s="109" t="s">
        <v>43</v>
      </c>
      <c r="G30" s="29"/>
      <c r="H30" s="33"/>
      <c r="I30" s="32">
        <f t="shared" si="1"/>
        <v>1</v>
      </c>
      <c r="J30" s="30">
        <f t="shared" si="2"/>
        <v>0</v>
      </c>
      <c r="K30" s="32">
        <f t="shared" si="0"/>
        <v>0</v>
      </c>
      <c r="L30" s="161"/>
    </row>
    <row r="31" spans="2:12" ht="30" hidden="1" customHeight="1" x14ac:dyDescent="0.3">
      <c r="B31" s="37" t="str">
        <f t="shared" si="3"/>
        <v>IExtDB</v>
      </c>
      <c r="C31" s="2">
        <f>IF(ISTEXT(D31),MAX($C$4:$C30)+1,"")</f>
        <v>24</v>
      </c>
      <c r="D31" s="159" t="s">
        <v>11</v>
      </c>
      <c r="E31" s="55" t="s">
        <v>660</v>
      </c>
      <c r="F31" s="109" t="s">
        <v>43</v>
      </c>
      <c r="G31" s="29"/>
      <c r="H31" s="33"/>
      <c r="I31" s="32">
        <f t="shared" si="1"/>
        <v>1</v>
      </c>
      <c r="J31" s="30">
        <f t="shared" si="2"/>
        <v>0</v>
      </c>
      <c r="K31" s="32">
        <f t="shared" si="0"/>
        <v>0</v>
      </c>
      <c r="L31" s="161"/>
    </row>
    <row r="32" spans="2:12" ht="37.950000000000003" hidden="1" customHeight="1" x14ac:dyDescent="0.3">
      <c r="B32" s="40" t="str">
        <f t="shared" si="3"/>
        <v/>
      </c>
      <c r="C32" s="40" t="str">
        <f>IF(ISTEXT(D32),MAX($C$6:$C31)+1,"")</f>
        <v/>
      </c>
      <c r="D32" s="3"/>
      <c r="E32" s="64" t="s">
        <v>661</v>
      </c>
      <c r="F32" s="115"/>
      <c r="G32" s="76"/>
      <c r="H32" s="76"/>
      <c r="I32" s="76"/>
      <c r="J32" s="76"/>
      <c r="K32" s="76"/>
      <c r="L32" s="76"/>
    </row>
    <row r="33" spans="2:12" ht="30" hidden="1" customHeight="1" x14ac:dyDescent="0.3">
      <c r="B33" s="37" t="str">
        <f t="shared" si="3"/>
        <v>IExtDB</v>
      </c>
      <c r="C33" s="2">
        <f>IF(ISTEXT(D33),MAX($C$4:$C31)+1,"")</f>
        <v>25</v>
      </c>
      <c r="D33" s="159" t="s">
        <v>11</v>
      </c>
      <c r="E33" s="81" t="s">
        <v>662</v>
      </c>
      <c r="F33" s="109" t="s">
        <v>43</v>
      </c>
      <c r="G33" s="29"/>
      <c r="H33" s="33"/>
      <c r="I33" s="32">
        <f t="shared" si="1"/>
        <v>1</v>
      </c>
      <c r="J33" s="30">
        <f t="shared" si="2"/>
        <v>0</v>
      </c>
      <c r="K33" s="32">
        <f t="shared" si="0"/>
        <v>0</v>
      </c>
      <c r="L33" s="161"/>
    </row>
    <row r="34" spans="2:12" ht="30" hidden="1" customHeight="1" x14ac:dyDescent="0.3">
      <c r="B34" s="37" t="str">
        <f t="shared" si="3"/>
        <v>IExtDB</v>
      </c>
      <c r="C34" s="2">
        <f>IF(ISTEXT(D34),MAX($C$4:$C33)+1,"")</f>
        <v>26</v>
      </c>
      <c r="D34" s="159" t="s">
        <v>11</v>
      </c>
      <c r="E34" s="81" t="s">
        <v>663</v>
      </c>
      <c r="F34" s="109" t="s">
        <v>43</v>
      </c>
      <c r="G34" s="29"/>
      <c r="H34" s="33"/>
      <c r="I34" s="32">
        <f t="shared" si="1"/>
        <v>1</v>
      </c>
      <c r="J34" s="30">
        <f t="shared" si="2"/>
        <v>0</v>
      </c>
      <c r="K34" s="32">
        <f t="shared" si="0"/>
        <v>0</v>
      </c>
      <c r="L34" s="161"/>
    </row>
    <row r="35" spans="2:12" ht="30" hidden="1" customHeight="1" x14ac:dyDescent="0.3">
      <c r="B35" s="37" t="str">
        <f t="shared" si="3"/>
        <v>IExtDB</v>
      </c>
      <c r="C35" s="2">
        <f>IF(ISTEXT(D35),MAX($C$4:$C34)+1,"")</f>
        <v>27</v>
      </c>
      <c r="D35" s="159" t="s">
        <v>11</v>
      </c>
      <c r="E35" s="81" t="s">
        <v>664</v>
      </c>
      <c r="F35" s="109" t="s">
        <v>43</v>
      </c>
      <c r="G35" s="29"/>
      <c r="H35" s="33"/>
      <c r="I35" s="32">
        <f t="shared" si="1"/>
        <v>1</v>
      </c>
      <c r="J35" s="30">
        <f t="shared" si="2"/>
        <v>0</v>
      </c>
      <c r="K35" s="32">
        <f t="shared" si="0"/>
        <v>0</v>
      </c>
      <c r="L35" s="161"/>
    </row>
    <row r="36" spans="2:12" ht="30" hidden="1" customHeight="1" x14ac:dyDescent="0.3">
      <c r="B36" s="37" t="str">
        <f t="shared" si="3"/>
        <v>IExtDB</v>
      </c>
      <c r="C36" s="2">
        <f>IF(ISTEXT(D36),MAX($C$4:$C35)+1,"")</f>
        <v>28</v>
      </c>
      <c r="D36" s="159" t="s">
        <v>11</v>
      </c>
      <c r="E36" s="81" t="s">
        <v>665</v>
      </c>
      <c r="F36" s="109" t="s">
        <v>43</v>
      </c>
      <c r="G36" s="29"/>
      <c r="H36" s="33"/>
      <c r="I36" s="32">
        <f t="shared" si="1"/>
        <v>1</v>
      </c>
      <c r="J36" s="30">
        <f t="shared" si="2"/>
        <v>0</v>
      </c>
      <c r="K36" s="32">
        <f t="shared" si="0"/>
        <v>0</v>
      </c>
      <c r="L36" s="161"/>
    </row>
    <row r="37" spans="2:12" ht="30" hidden="1" customHeight="1" x14ac:dyDescent="0.3">
      <c r="B37" s="37" t="str">
        <f t="shared" si="3"/>
        <v>IExtDB</v>
      </c>
      <c r="C37" s="2">
        <f>IF(ISTEXT(D37),MAX($C$4:$C36)+1,"")</f>
        <v>29</v>
      </c>
      <c r="D37" s="159" t="s">
        <v>11</v>
      </c>
      <c r="E37" s="81" t="s">
        <v>666</v>
      </c>
      <c r="F37" s="109" t="s">
        <v>43</v>
      </c>
      <c r="G37" s="29"/>
      <c r="H37" s="33"/>
      <c r="I37" s="32">
        <f t="shared" si="1"/>
        <v>1</v>
      </c>
      <c r="J37" s="30">
        <f t="shared" si="2"/>
        <v>0</v>
      </c>
      <c r="K37" s="32">
        <f t="shared" si="0"/>
        <v>0</v>
      </c>
      <c r="L37" s="161"/>
    </row>
    <row r="38" spans="2:12" ht="30" hidden="1" customHeight="1" x14ac:dyDescent="0.3">
      <c r="B38" s="37" t="str">
        <f t="shared" si="3"/>
        <v>IExtDB</v>
      </c>
      <c r="C38" s="2">
        <f>IF(ISTEXT(D38),MAX($C$4:$C37)+1,"")</f>
        <v>30</v>
      </c>
      <c r="D38" s="159" t="s">
        <v>11</v>
      </c>
      <c r="E38" s="81" t="s">
        <v>667</v>
      </c>
      <c r="F38" s="109" t="s">
        <v>43</v>
      </c>
      <c r="G38" s="29"/>
      <c r="H38" s="33"/>
      <c r="I38" s="32">
        <f t="shared" si="1"/>
        <v>1</v>
      </c>
      <c r="J38" s="30">
        <f t="shared" si="2"/>
        <v>0</v>
      </c>
      <c r="K38" s="32">
        <f t="shared" si="0"/>
        <v>0</v>
      </c>
      <c r="L38" s="161"/>
    </row>
    <row r="39" spans="2:12" ht="30" hidden="1" customHeight="1" x14ac:dyDescent="0.3">
      <c r="B39" s="37" t="str">
        <f t="shared" ref="B39:B78" si="5">IF(C39="","",$B$4)</f>
        <v>IExtDB</v>
      </c>
      <c r="C39" s="2">
        <f>IF(ISTEXT(D39),MAX($C$4:$C38)+1,"")</f>
        <v>31</v>
      </c>
      <c r="D39" s="159" t="s">
        <v>11</v>
      </c>
      <c r="E39" s="81" t="s">
        <v>668</v>
      </c>
      <c r="F39" s="109" t="s">
        <v>43</v>
      </c>
      <c r="G39" s="29"/>
      <c r="H39" s="33"/>
      <c r="I39" s="32">
        <f t="shared" si="1"/>
        <v>1</v>
      </c>
      <c r="J39" s="30">
        <f t="shared" si="2"/>
        <v>0</v>
      </c>
      <c r="K39" s="32">
        <f t="shared" si="0"/>
        <v>0</v>
      </c>
      <c r="L39" s="161"/>
    </row>
    <row r="40" spans="2:12" ht="30" hidden="1" customHeight="1" x14ac:dyDescent="0.3">
      <c r="B40" s="37" t="str">
        <f t="shared" si="5"/>
        <v>IExtDB</v>
      </c>
      <c r="C40" s="2">
        <f>IF(ISTEXT(D40),MAX($C$4:$C39)+1,"")</f>
        <v>32</v>
      </c>
      <c r="D40" s="159" t="s">
        <v>11</v>
      </c>
      <c r="E40" s="81" t="s">
        <v>669</v>
      </c>
      <c r="F40" s="109" t="s">
        <v>43</v>
      </c>
      <c r="G40" s="29"/>
      <c r="H40" s="33"/>
      <c r="I40" s="32">
        <f t="shared" si="1"/>
        <v>1</v>
      </c>
      <c r="J40" s="30">
        <f t="shared" si="2"/>
        <v>0</v>
      </c>
      <c r="K40" s="32">
        <f t="shared" si="0"/>
        <v>0</v>
      </c>
      <c r="L40" s="161"/>
    </row>
    <row r="41" spans="2:12" ht="30" hidden="1" customHeight="1" x14ac:dyDescent="0.3">
      <c r="B41" s="37" t="str">
        <f t="shared" si="5"/>
        <v>IExtDB</v>
      </c>
      <c r="C41" s="2">
        <f>IF(ISTEXT(D41),MAX($C$4:$C40)+1,"")</f>
        <v>33</v>
      </c>
      <c r="D41" s="159" t="s">
        <v>11</v>
      </c>
      <c r="E41" s="81" t="s">
        <v>670</v>
      </c>
      <c r="F41" s="109" t="s">
        <v>43</v>
      </c>
      <c r="G41" s="29"/>
      <c r="H41" s="33"/>
      <c r="I41" s="32">
        <f t="shared" si="1"/>
        <v>1</v>
      </c>
      <c r="J41" s="30">
        <f t="shared" si="2"/>
        <v>0</v>
      </c>
      <c r="K41" s="32">
        <f t="shared" si="0"/>
        <v>0</v>
      </c>
      <c r="L41" s="161"/>
    </row>
    <row r="42" spans="2:12" ht="30" hidden="1" customHeight="1" x14ac:dyDescent="0.3">
      <c r="B42" s="37" t="str">
        <f t="shared" si="5"/>
        <v>IExtDB</v>
      </c>
      <c r="C42" s="2">
        <f>IF(ISTEXT(D42),MAX($C$4:$C41)+1,"")</f>
        <v>34</v>
      </c>
      <c r="D42" s="159" t="s">
        <v>11</v>
      </c>
      <c r="E42" s="81" t="s">
        <v>671</v>
      </c>
      <c r="F42" s="109" t="s">
        <v>43</v>
      </c>
      <c r="G42" s="29"/>
      <c r="H42" s="33"/>
      <c r="I42" s="32">
        <f t="shared" si="1"/>
        <v>1</v>
      </c>
      <c r="J42" s="30">
        <f t="shared" si="2"/>
        <v>0</v>
      </c>
      <c r="K42" s="32">
        <f t="shared" si="0"/>
        <v>0</v>
      </c>
      <c r="L42" s="161"/>
    </row>
    <row r="43" spans="2:12" ht="41.4" hidden="1" x14ac:dyDescent="0.3">
      <c r="B43" s="37" t="str">
        <f t="shared" si="5"/>
        <v>IExtDB</v>
      </c>
      <c r="C43" s="2">
        <f>IF(ISTEXT(D43),MAX($C$4:$C42)+1,"")</f>
        <v>35</v>
      </c>
      <c r="D43" s="159" t="s">
        <v>11</v>
      </c>
      <c r="E43" s="326" t="s">
        <v>672</v>
      </c>
      <c r="F43" s="109" t="s">
        <v>43</v>
      </c>
      <c r="G43" s="29"/>
      <c r="H43" s="33"/>
      <c r="I43" s="32">
        <f t="shared" si="1"/>
        <v>1</v>
      </c>
      <c r="J43" s="30">
        <f t="shared" si="2"/>
        <v>0</v>
      </c>
      <c r="K43" s="32">
        <f t="shared" si="0"/>
        <v>0</v>
      </c>
      <c r="L43" s="161"/>
    </row>
    <row r="44" spans="2:12" ht="30" hidden="1" customHeight="1" x14ac:dyDescent="0.3">
      <c r="B44" s="37" t="str">
        <f t="shared" si="5"/>
        <v>IExtDB</v>
      </c>
      <c r="C44" s="2">
        <f>IF(ISTEXT(D44),MAX($C$4:$C43)+1,"")</f>
        <v>36</v>
      </c>
      <c r="D44" s="159" t="s">
        <v>11</v>
      </c>
      <c r="E44" s="55" t="s">
        <v>673</v>
      </c>
      <c r="F44" s="109" t="s">
        <v>43</v>
      </c>
      <c r="G44" s="29"/>
      <c r="H44" s="33"/>
      <c r="I44" s="32">
        <f t="shared" si="1"/>
        <v>1</v>
      </c>
      <c r="J44" s="30">
        <f t="shared" si="2"/>
        <v>0</v>
      </c>
      <c r="K44" s="32">
        <f t="shared" si="0"/>
        <v>0</v>
      </c>
      <c r="L44" s="161"/>
    </row>
    <row r="45" spans="2:12" ht="30" hidden="1" customHeight="1" x14ac:dyDescent="0.3">
      <c r="B45" s="37" t="str">
        <f t="shared" si="5"/>
        <v>IExtDB</v>
      </c>
      <c r="C45" s="2">
        <f>IF(ISTEXT(D45),MAX($C$4:$C44)+1,"")</f>
        <v>37</v>
      </c>
      <c r="D45" s="159" t="s">
        <v>11</v>
      </c>
      <c r="E45" s="55" t="s">
        <v>674</v>
      </c>
      <c r="F45" s="109" t="s">
        <v>43</v>
      </c>
      <c r="G45" s="29"/>
      <c r="H45" s="33"/>
      <c r="I45" s="32">
        <f t="shared" si="1"/>
        <v>1</v>
      </c>
      <c r="J45" s="30">
        <f t="shared" si="2"/>
        <v>0</v>
      </c>
      <c r="K45" s="32">
        <f t="shared" si="0"/>
        <v>0</v>
      </c>
      <c r="L45" s="161"/>
    </row>
    <row r="46" spans="2:12" ht="30" hidden="1" customHeight="1" x14ac:dyDescent="0.3">
      <c r="B46" s="37" t="str">
        <f t="shared" si="5"/>
        <v>IExtDB</v>
      </c>
      <c r="C46" s="2">
        <f>IF(ISTEXT(D46),MAX($C$4:$C45)+1,"")</f>
        <v>38</v>
      </c>
      <c r="D46" s="159" t="s">
        <v>11</v>
      </c>
      <c r="E46" s="55" t="s">
        <v>675</v>
      </c>
      <c r="F46" s="109" t="s">
        <v>43</v>
      </c>
      <c r="G46" s="29"/>
      <c r="H46" s="33"/>
      <c r="I46" s="32">
        <f t="shared" si="1"/>
        <v>1</v>
      </c>
      <c r="J46" s="30">
        <f t="shared" si="2"/>
        <v>0</v>
      </c>
      <c r="K46" s="32">
        <f t="shared" si="0"/>
        <v>0</v>
      </c>
      <c r="L46" s="161"/>
    </row>
    <row r="47" spans="2:12" ht="30" hidden="1" customHeight="1" x14ac:dyDescent="0.3">
      <c r="B47" s="37" t="str">
        <f t="shared" si="5"/>
        <v>IExtDB</v>
      </c>
      <c r="C47" s="2">
        <f>IF(ISTEXT(D47),MAX($C$4:$C46)+1,"")</f>
        <v>39</v>
      </c>
      <c r="D47" s="159" t="s">
        <v>11</v>
      </c>
      <c r="E47" s="55" t="s">
        <v>676</v>
      </c>
      <c r="F47" s="109" t="s">
        <v>43</v>
      </c>
      <c r="G47" s="29"/>
      <c r="H47" s="33"/>
      <c r="I47" s="32">
        <f t="shared" si="1"/>
        <v>1</v>
      </c>
      <c r="J47" s="30">
        <f t="shared" si="2"/>
        <v>0</v>
      </c>
      <c r="K47" s="32">
        <f t="shared" si="0"/>
        <v>0</v>
      </c>
      <c r="L47" s="161"/>
    </row>
    <row r="48" spans="2:12" ht="15.6" x14ac:dyDescent="0.3">
      <c r="B48" s="67" t="s">
        <v>677</v>
      </c>
      <c r="C48" s="67"/>
      <c r="D48" s="67"/>
      <c r="E48" s="67"/>
      <c r="F48" s="67"/>
      <c r="G48" s="76"/>
      <c r="H48" s="76"/>
      <c r="I48" s="76"/>
      <c r="J48" s="76"/>
      <c r="K48" s="76"/>
      <c r="L48" s="76"/>
    </row>
    <row r="49" spans="2:12" ht="30" customHeight="1" x14ac:dyDescent="0.3">
      <c r="B49" s="37" t="str">
        <f t="shared" si="5"/>
        <v>IExtDB</v>
      </c>
      <c r="C49" s="2">
        <f>IF(ISTEXT(D49),MAX($C$4:$C47)+1,"")</f>
        <v>40</v>
      </c>
      <c r="D49" s="159" t="s">
        <v>11</v>
      </c>
      <c r="E49" s="55" t="s">
        <v>678</v>
      </c>
      <c r="F49" s="176" t="s">
        <v>43</v>
      </c>
      <c r="G49" s="177"/>
      <c r="H49" s="184"/>
      <c r="I49" s="188">
        <f t="shared" si="1"/>
        <v>1</v>
      </c>
      <c r="J49" s="189">
        <f t="shared" si="2"/>
        <v>0</v>
      </c>
      <c r="K49" s="188">
        <f t="shared" si="0"/>
        <v>0</v>
      </c>
      <c r="L49" s="38"/>
    </row>
    <row r="50" spans="2:12" ht="30" customHeight="1" x14ac:dyDescent="0.3">
      <c r="B50" s="37" t="str">
        <f t="shared" si="5"/>
        <v>IExtDB</v>
      </c>
      <c r="C50" s="2">
        <f>IF(ISTEXT(D50),MAX($C$4:$C49)+1,"")</f>
        <v>41</v>
      </c>
      <c r="D50" s="159" t="s">
        <v>11</v>
      </c>
      <c r="E50" s="283" t="s">
        <v>679</v>
      </c>
      <c r="F50" s="176" t="s">
        <v>43</v>
      </c>
      <c r="G50" s="177"/>
      <c r="H50" s="184"/>
      <c r="I50" s="188">
        <f t="shared" si="1"/>
        <v>1</v>
      </c>
      <c r="J50" s="189">
        <f t="shared" si="2"/>
        <v>0</v>
      </c>
      <c r="K50" s="188">
        <f t="shared" si="0"/>
        <v>0</v>
      </c>
      <c r="L50" s="38"/>
    </row>
    <row r="51" spans="2:12" ht="37.950000000000003" customHeight="1" x14ac:dyDescent="0.3">
      <c r="B51" s="40" t="str">
        <f t="shared" si="5"/>
        <v/>
      </c>
      <c r="C51" s="40" t="str">
        <f>IF(ISTEXT(D51),MAX($C$6:$C50)+1,"")</f>
        <v/>
      </c>
      <c r="D51" s="3"/>
      <c r="E51" s="64" t="s">
        <v>680</v>
      </c>
      <c r="F51" s="115"/>
      <c r="G51" s="76"/>
      <c r="H51" s="76"/>
      <c r="I51" s="76"/>
      <c r="J51" s="76"/>
      <c r="K51" s="76"/>
      <c r="L51" s="76"/>
    </row>
    <row r="52" spans="2:12" ht="30" customHeight="1" x14ac:dyDescent="0.3">
      <c r="B52" s="37" t="str">
        <f t="shared" si="5"/>
        <v>IExtDB</v>
      </c>
      <c r="C52" s="2">
        <f>IF(ISTEXT(D52),MAX($C$4:$C50)+1,"")</f>
        <v>42</v>
      </c>
      <c r="D52" s="159" t="s">
        <v>11</v>
      </c>
      <c r="E52" s="327" t="s">
        <v>681</v>
      </c>
      <c r="F52" s="176" t="s">
        <v>43</v>
      </c>
      <c r="G52" s="177"/>
      <c r="H52" s="184"/>
      <c r="I52" s="188">
        <f t="shared" si="1"/>
        <v>1</v>
      </c>
      <c r="J52" s="189">
        <f t="shared" si="2"/>
        <v>0</v>
      </c>
      <c r="K52" s="188">
        <f t="shared" si="0"/>
        <v>0</v>
      </c>
      <c r="L52" s="38"/>
    </row>
    <row r="53" spans="2:12" ht="30" customHeight="1" x14ac:dyDescent="0.3">
      <c r="B53" s="37" t="str">
        <f t="shared" si="5"/>
        <v>IExtDB</v>
      </c>
      <c r="C53" s="2">
        <f>IF(ISTEXT(D53),MAX($C$4:$C52)+1,"")</f>
        <v>43</v>
      </c>
      <c r="D53" s="159" t="s">
        <v>11</v>
      </c>
      <c r="E53" s="325" t="s">
        <v>682</v>
      </c>
      <c r="F53" s="176" t="s">
        <v>43</v>
      </c>
      <c r="G53" s="177"/>
      <c r="H53" s="184"/>
      <c r="I53" s="188">
        <f t="shared" si="1"/>
        <v>1</v>
      </c>
      <c r="J53" s="189">
        <f t="shared" si="2"/>
        <v>0</v>
      </c>
      <c r="K53" s="188">
        <f t="shared" si="0"/>
        <v>0</v>
      </c>
      <c r="L53" s="38"/>
    </row>
    <row r="54" spans="2:12" ht="30" customHeight="1" x14ac:dyDescent="0.3">
      <c r="B54" s="37" t="str">
        <f t="shared" si="5"/>
        <v>IExtDB</v>
      </c>
      <c r="C54" s="2">
        <f>IF(ISTEXT(D54),MAX($C$4:$C53)+1,"")</f>
        <v>44</v>
      </c>
      <c r="D54" s="159" t="s">
        <v>11</v>
      </c>
      <c r="E54" s="325" t="s">
        <v>683</v>
      </c>
      <c r="F54" s="176" t="s">
        <v>43</v>
      </c>
      <c r="G54" s="177"/>
      <c r="H54" s="184"/>
      <c r="I54" s="188">
        <f t="shared" si="1"/>
        <v>1</v>
      </c>
      <c r="J54" s="189">
        <f t="shared" si="2"/>
        <v>0</v>
      </c>
      <c r="K54" s="188">
        <f t="shared" si="0"/>
        <v>0</v>
      </c>
      <c r="L54" s="38"/>
    </row>
    <row r="55" spans="2:12" ht="30" customHeight="1" x14ac:dyDescent="0.3">
      <c r="B55" s="37" t="str">
        <f t="shared" si="5"/>
        <v>IExtDB</v>
      </c>
      <c r="C55" s="2">
        <f>IF(ISTEXT(D55),MAX($C$4:$C54)+1,"")</f>
        <v>45</v>
      </c>
      <c r="D55" s="159" t="s">
        <v>11</v>
      </c>
      <c r="E55" s="325" t="s">
        <v>684</v>
      </c>
      <c r="F55" s="176" t="s">
        <v>43</v>
      </c>
      <c r="G55" s="177"/>
      <c r="H55" s="184"/>
      <c r="I55" s="188">
        <f t="shared" si="1"/>
        <v>1</v>
      </c>
      <c r="J55" s="189">
        <f t="shared" si="2"/>
        <v>0</v>
      </c>
      <c r="K55" s="188">
        <f t="shared" si="0"/>
        <v>0</v>
      </c>
      <c r="L55" s="38"/>
    </row>
    <row r="56" spans="2:12" ht="30" customHeight="1" x14ac:dyDescent="0.3">
      <c r="B56" s="37" t="str">
        <f t="shared" si="5"/>
        <v>IExtDB</v>
      </c>
      <c r="C56" s="2">
        <f>IF(ISTEXT(D56),MAX($C$4:$C55)+1,"")</f>
        <v>46</v>
      </c>
      <c r="D56" s="159" t="s">
        <v>11</v>
      </c>
      <c r="E56" s="325" t="s">
        <v>685</v>
      </c>
      <c r="F56" s="176" t="s">
        <v>43</v>
      </c>
      <c r="G56" s="177"/>
      <c r="H56" s="184"/>
      <c r="I56" s="188">
        <f t="shared" si="1"/>
        <v>1</v>
      </c>
      <c r="J56" s="189">
        <f t="shared" si="2"/>
        <v>0</v>
      </c>
      <c r="K56" s="188">
        <f t="shared" si="0"/>
        <v>0</v>
      </c>
      <c r="L56" s="38"/>
    </row>
    <row r="57" spans="2:12" ht="30" customHeight="1" x14ac:dyDescent="0.3">
      <c r="B57" s="37" t="str">
        <f t="shared" si="5"/>
        <v>IExtDB</v>
      </c>
      <c r="C57" s="2">
        <f>IF(ISTEXT(D57),MAX($C$4:$C56)+1,"")</f>
        <v>47</v>
      </c>
      <c r="D57" s="159" t="s">
        <v>11</v>
      </c>
      <c r="E57" s="325" t="s">
        <v>362</v>
      </c>
      <c r="F57" s="176" t="s">
        <v>43</v>
      </c>
      <c r="G57" s="177"/>
      <c r="H57" s="184"/>
      <c r="I57" s="188">
        <f t="shared" si="1"/>
        <v>1</v>
      </c>
      <c r="J57" s="189">
        <f t="shared" si="2"/>
        <v>0</v>
      </c>
      <c r="K57" s="188">
        <f t="shared" si="0"/>
        <v>0</v>
      </c>
      <c r="L57" s="38"/>
    </row>
    <row r="58" spans="2:12" ht="30" customHeight="1" x14ac:dyDescent="0.3">
      <c r="B58" s="37" t="str">
        <f t="shared" si="5"/>
        <v>IExtDB</v>
      </c>
      <c r="C58" s="2">
        <f>IF(ISTEXT(D58),MAX($C$4:$C57)+1,"")</f>
        <v>48</v>
      </c>
      <c r="D58" s="159" t="s">
        <v>11</v>
      </c>
      <c r="E58" s="325" t="s">
        <v>686</v>
      </c>
      <c r="F58" s="176" t="s">
        <v>43</v>
      </c>
      <c r="G58" s="177"/>
      <c r="H58" s="184"/>
      <c r="I58" s="188">
        <f t="shared" si="1"/>
        <v>1</v>
      </c>
      <c r="J58" s="189">
        <f t="shared" si="2"/>
        <v>0</v>
      </c>
      <c r="K58" s="188">
        <f t="shared" si="0"/>
        <v>0</v>
      </c>
      <c r="L58" s="38"/>
    </row>
    <row r="59" spans="2:12" ht="30" customHeight="1" x14ac:dyDescent="0.3">
      <c r="B59" s="37" t="str">
        <f t="shared" si="5"/>
        <v>IExtDB</v>
      </c>
      <c r="C59" s="2">
        <f>IF(ISTEXT(D59),MAX($C$4:$C58)+1,"")</f>
        <v>49</v>
      </c>
      <c r="D59" s="159" t="s">
        <v>11</v>
      </c>
      <c r="E59" s="325" t="s">
        <v>687</v>
      </c>
      <c r="F59" s="176" t="s">
        <v>43</v>
      </c>
      <c r="G59" s="177"/>
      <c r="H59" s="184"/>
      <c r="I59" s="188">
        <f t="shared" si="1"/>
        <v>1</v>
      </c>
      <c r="J59" s="189">
        <f t="shared" si="2"/>
        <v>0</v>
      </c>
      <c r="K59" s="188">
        <f t="shared" ref="K59:K78" si="6">I59*J59</f>
        <v>0</v>
      </c>
      <c r="L59" s="38"/>
    </row>
    <row r="60" spans="2:12" ht="30" customHeight="1" x14ac:dyDescent="0.3">
      <c r="B60" s="37" t="str">
        <f t="shared" si="5"/>
        <v>IExtDB</v>
      </c>
      <c r="C60" s="2">
        <f>IF(ISTEXT(D60),MAX($C$4:$C59)+1,"")</f>
        <v>50</v>
      </c>
      <c r="D60" s="159" t="s">
        <v>11</v>
      </c>
      <c r="E60" s="325" t="s">
        <v>688</v>
      </c>
      <c r="F60" s="176" t="s">
        <v>43</v>
      </c>
      <c r="G60" s="177"/>
      <c r="H60" s="184"/>
      <c r="I60" s="188">
        <f t="shared" si="1"/>
        <v>1</v>
      </c>
      <c r="J60" s="189">
        <f t="shared" si="2"/>
        <v>0</v>
      </c>
      <c r="K60" s="188">
        <f t="shared" si="6"/>
        <v>0</v>
      </c>
      <c r="L60" s="38"/>
    </row>
    <row r="61" spans="2:12" ht="30" customHeight="1" x14ac:dyDescent="0.3">
      <c r="B61" s="37" t="str">
        <f t="shared" si="5"/>
        <v>IExtDB</v>
      </c>
      <c r="C61" s="2">
        <f>IF(ISTEXT(D61),MAX($C$4:$C60)+1,"")</f>
        <v>51</v>
      </c>
      <c r="D61" s="159" t="s">
        <v>11</v>
      </c>
      <c r="E61" s="81" t="s">
        <v>689</v>
      </c>
      <c r="F61" s="176" t="s">
        <v>43</v>
      </c>
      <c r="G61" s="177"/>
      <c r="H61" s="184"/>
      <c r="I61" s="188">
        <f t="shared" si="1"/>
        <v>1</v>
      </c>
      <c r="J61" s="189">
        <f t="shared" si="2"/>
        <v>0</v>
      </c>
      <c r="K61" s="188">
        <f t="shared" si="6"/>
        <v>0</v>
      </c>
      <c r="L61" s="38"/>
    </row>
    <row r="62" spans="2:12" ht="15.6" hidden="1" x14ac:dyDescent="0.3">
      <c r="B62" s="67" t="s">
        <v>690</v>
      </c>
      <c r="C62" s="67"/>
      <c r="D62" s="67"/>
      <c r="E62" s="67"/>
      <c r="F62" s="67"/>
      <c r="G62" s="76"/>
      <c r="H62" s="76"/>
      <c r="I62" s="76"/>
      <c r="J62" s="76"/>
      <c r="K62" s="76"/>
      <c r="L62" s="76"/>
    </row>
    <row r="63" spans="2:12" ht="30" hidden="1" customHeight="1" x14ac:dyDescent="0.3">
      <c r="B63" s="37" t="str">
        <f t="shared" si="5"/>
        <v>IExtDB</v>
      </c>
      <c r="C63" s="2">
        <f>IF(ISTEXT(D63),MAX($C$4:$C61)+1,"")</f>
        <v>52</v>
      </c>
      <c r="D63" s="159" t="s">
        <v>11</v>
      </c>
      <c r="E63" s="55" t="s">
        <v>691</v>
      </c>
      <c r="F63" s="109" t="s">
        <v>43</v>
      </c>
      <c r="G63" s="29"/>
      <c r="H63" s="33"/>
      <c r="I63" s="32">
        <f t="shared" si="1"/>
        <v>1</v>
      </c>
      <c r="J63" s="30">
        <f t="shared" si="2"/>
        <v>0</v>
      </c>
      <c r="K63" s="32">
        <f t="shared" si="6"/>
        <v>0</v>
      </c>
      <c r="L63" s="161"/>
    </row>
    <row r="64" spans="2:12" ht="30" hidden="1" customHeight="1" x14ac:dyDescent="0.3">
      <c r="B64" s="37" t="str">
        <f t="shared" si="5"/>
        <v>IExtDB</v>
      </c>
      <c r="C64" s="2">
        <f>IF(ISTEXT(D64),MAX($C$4:$C63)+1,"")</f>
        <v>53</v>
      </c>
      <c r="D64" s="159" t="s">
        <v>11</v>
      </c>
      <c r="E64" s="55" t="s">
        <v>692</v>
      </c>
      <c r="F64" s="109" t="s">
        <v>43</v>
      </c>
      <c r="G64" s="29"/>
      <c r="H64" s="33"/>
      <c r="I64" s="32">
        <f t="shared" ref="I64:I78" si="7">VLOOKUP($D64,SpecData,2,FALSE)</f>
        <v>1</v>
      </c>
      <c r="J64" s="30">
        <f t="shared" ref="J64:J78" si="8">VLOOKUP($F64,AvailabilityData,2,FALSE)</f>
        <v>0</v>
      </c>
      <c r="K64" s="32">
        <f t="shared" si="6"/>
        <v>0</v>
      </c>
      <c r="L64" s="161"/>
    </row>
    <row r="65" spans="2:12" ht="30" hidden="1" customHeight="1" x14ac:dyDescent="0.3">
      <c r="B65" s="37" t="str">
        <f t="shared" si="5"/>
        <v>IExtDB</v>
      </c>
      <c r="C65" s="2">
        <f>IF(ISTEXT(D65),MAX($C$4:$C64)+1,"")</f>
        <v>54</v>
      </c>
      <c r="D65" s="159" t="s">
        <v>11</v>
      </c>
      <c r="E65" s="55" t="s">
        <v>693</v>
      </c>
      <c r="F65" s="109" t="s">
        <v>43</v>
      </c>
      <c r="G65" s="29"/>
      <c r="H65" s="33"/>
      <c r="I65" s="32">
        <f t="shared" si="7"/>
        <v>1</v>
      </c>
      <c r="J65" s="30">
        <f t="shared" si="8"/>
        <v>0</v>
      </c>
      <c r="K65" s="32">
        <f t="shared" si="6"/>
        <v>0</v>
      </c>
      <c r="L65" s="161"/>
    </row>
    <row r="66" spans="2:12" ht="30" hidden="1" customHeight="1" x14ac:dyDescent="0.3">
      <c r="B66" s="37" t="str">
        <f t="shared" si="5"/>
        <v>IExtDB</v>
      </c>
      <c r="C66" s="2">
        <f>IF(ISTEXT(D66),MAX($C$4:$C65)+1,"")</f>
        <v>55</v>
      </c>
      <c r="D66" s="159" t="s">
        <v>11</v>
      </c>
      <c r="E66" s="60" t="s">
        <v>694</v>
      </c>
      <c r="F66" s="109" t="s">
        <v>43</v>
      </c>
      <c r="G66" s="29"/>
      <c r="H66" s="33"/>
      <c r="I66" s="32">
        <f t="shared" si="7"/>
        <v>1</v>
      </c>
      <c r="J66" s="30">
        <f t="shared" si="8"/>
        <v>0</v>
      </c>
      <c r="K66" s="32">
        <f t="shared" si="6"/>
        <v>0</v>
      </c>
      <c r="L66" s="161"/>
    </row>
    <row r="67" spans="2:12" ht="15.6" x14ac:dyDescent="0.3">
      <c r="B67" s="67" t="s">
        <v>695</v>
      </c>
      <c r="C67" s="67"/>
      <c r="D67" s="67"/>
      <c r="E67" s="67"/>
      <c r="F67" s="67"/>
      <c r="G67" s="76"/>
      <c r="H67" s="76"/>
      <c r="I67" s="76"/>
      <c r="J67" s="76"/>
      <c r="K67" s="76"/>
      <c r="L67" s="76"/>
    </row>
    <row r="68" spans="2:12" ht="30" customHeight="1" x14ac:dyDescent="0.3">
      <c r="B68" s="37" t="str">
        <f t="shared" si="5"/>
        <v>IExtDB</v>
      </c>
      <c r="C68" s="2">
        <f>IF(ISTEXT(D68),MAX($C$4:$C66)+1,"")</f>
        <v>56</v>
      </c>
      <c r="D68" s="159" t="s">
        <v>11</v>
      </c>
      <c r="E68" s="236" t="s">
        <v>696</v>
      </c>
      <c r="F68" s="176" t="s">
        <v>43</v>
      </c>
      <c r="G68" s="177"/>
      <c r="H68" s="184"/>
      <c r="I68" s="188">
        <f t="shared" si="7"/>
        <v>1</v>
      </c>
      <c r="J68" s="189">
        <f t="shared" si="8"/>
        <v>0</v>
      </c>
      <c r="K68" s="188">
        <f t="shared" si="6"/>
        <v>0</v>
      </c>
      <c r="L68" s="38"/>
    </row>
    <row r="69" spans="2:12" ht="30" customHeight="1" x14ac:dyDescent="0.3">
      <c r="B69" s="37" t="str">
        <f t="shared" si="5"/>
        <v>IExtDB</v>
      </c>
      <c r="C69" s="2">
        <f>IF(ISTEXT(D69),MAX($C$4:$C68)+1,"")</f>
        <v>57</v>
      </c>
      <c r="D69" s="159" t="s">
        <v>11</v>
      </c>
      <c r="E69" s="236" t="s">
        <v>697</v>
      </c>
      <c r="F69" s="176" t="s">
        <v>43</v>
      </c>
      <c r="G69" s="177"/>
      <c r="H69" s="184"/>
      <c r="I69" s="188">
        <f t="shared" si="7"/>
        <v>1</v>
      </c>
      <c r="J69" s="189">
        <f t="shared" si="8"/>
        <v>0</v>
      </c>
      <c r="K69" s="188">
        <f t="shared" si="6"/>
        <v>0</v>
      </c>
      <c r="L69" s="38"/>
    </row>
    <row r="70" spans="2:12" ht="15.6" hidden="1" x14ac:dyDescent="0.3">
      <c r="B70" s="67" t="s">
        <v>698</v>
      </c>
      <c r="C70" s="67"/>
      <c r="D70" s="67"/>
      <c r="E70" s="67"/>
      <c r="F70" s="67"/>
      <c r="G70" s="76"/>
      <c r="H70" s="76"/>
      <c r="I70" s="76"/>
      <c r="J70" s="76"/>
      <c r="K70" s="76"/>
      <c r="L70" s="76"/>
    </row>
    <row r="71" spans="2:12" ht="30" hidden="1" customHeight="1" x14ac:dyDescent="0.3">
      <c r="B71" s="37" t="str">
        <f t="shared" si="5"/>
        <v>IExtDB</v>
      </c>
      <c r="C71" s="2">
        <f>IF(ISTEXT(D71),MAX($C$4:$C69)+1,"")</f>
        <v>58</v>
      </c>
      <c r="D71" s="159" t="s">
        <v>11</v>
      </c>
      <c r="E71" s="55" t="s">
        <v>699</v>
      </c>
      <c r="F71" s="109" t="s">
        <v>43</v>
      </c>
      <c r="G71" s="29"/>
      <c r="H71" s="33"/>
      <c r="I71" s="32">
        <f t="shared" si="7"/>
        <v>1</v>
      </c>
      <c r="J71" s="30">
        <f t="shared" si="8"/>
        <v>0</v>
      </c>
      <c r="K71" s="32">
        <f t="shared" si="6"/>
        <v>0</v>
      </c>
      <c r="L71" s="161"/>
    </row>
    <row r="72" spans="2:12" ht="30.6" hidden="1" customHeight="1" x14ac:dyDescent="0.3">
      <c r="B72" s="37" t="str">
        <f t="shared" si="5"/>
        <v>IExtDB</v>
      </c>
      <c r="C72" s="2">
        <f>IF(ISTEXT(D72),MAX($C$4:$C71)+1,"")</f>
        <v>59</v>
      </c>
      <c r="D72" s="159" t="s">
        <v>11</v>
      </c>
      <c r="E72" s="60" t="s">
        <v>700</v>
      </c>
      <c r="F72" s="109" t="s">
        <v>43</v>
      </c>
      <c r="G72" s="29"/>
      <c r="H72" s="33"/>
      <c r="I72" s="32">
        <f t="shared" si="7"/>
        <v>1</v>
      </c>
      <c r="J72" s="30">
        <f t="shared" si="8"/>
        <v>0</v>
      </c>
      <c r="K72" s="32">
        <f t="shared" si="6"/>
        <v>0</v>
      </c>
      <c r="L72" s="161"/>
    </row>
    <row r="73" spans="2:12" ht="15.6" hidden="1" x14ac:dyDescent="0.3">
      <c r="B73" s="67" t="s">
        <v>701</v>
      </c>
      <c r="C73" s="67"/>
      <c r="D73" s="67"/>
      <c r="E73" s="67"/>
      <c r="F73" s="67"/>
      <c r="G73" s="76"/>
      <c r="H73" s="76"/>
      <c r="I73" s="76"/>
      <c r="J73" s="76"/>
      <c r="K73" s="76"/>
      <c r="L73" s="76"/>
    </row>
    <row r="74" spans="2:12" ht="41.4" hidden="1" x14ac:dyDescent="0.3">
      <c r="B74" s="37" t="str">
        <f t="shared" si="5"/>
        <v>IExtDB</v>
      </c>
      <c r="C74" s="2">
        <f>IF(ISTEXT(D74),MAX($C$4:$C72)+1,"")</f>
        <v>60</v>
      </c>
      <c r="D74" s="159" t="s">
        <v>11</v>
      </c>
      <c r="E74" s="60" t="s">
        <v>702</v>
      </c>
      <c r="F74" s="109" t="s">
        <v>43</v>
      </c>
      <c r="G74" s="29"/>
      <c r="H74" s="33"/>
      <c r="I74" s="32">
        <f t="shared" si="7"/>
        <v>1</v>
      </c>
      <c r="J74" s="30">
        <f t="shared" si="8"/>
        <v>0</v>
      </c>
      <c r="K74" s="32">
        <f t="shared" si="6"/>
        <v>0</v>
      </c>
      <c r="L74" s="161"/>
    </row>
    <row r="75" spans="2:12" ht="15" hidden="1" customHeight="1" x14ac:dyDescent="0.3">
      <c r="B75" s="67" t="s">
        <v>703</v>
      </c>
      <c r="C75" s="67"/>
      <c r="D75" s="67"/>
      <c r="E75" s="67"/>
      <c r="F75" s="67"/>
      <c r="G75" s="76"/>
      <c r="H75" s="76"/>
      <c r="I75" s="76"/>
      <c r="J75" s="76"/>
      <c r="K75" s="76"/>
      <c r="L75" s="76"/>
    </row>
    <row r="76" spans="2:12" ht="29.7" hidden="1" customHeight="1" x14ac:dyDescent="0.3">
      <c r="B76" s="37" t="str">
        <f t="shared" si="5"/>
        <v>IExtDB</v>
      </c>
      <c r="C76" s="2">
        <f>IF(ISTEXT(D76),MAX($C$4:$C74)+1,"")</f>
        <v>61</v>
      </c>
      <c r="D76" s="159" t="s">
        <v>11</v>
      </c>
      <c r="E76" s="60" t="s">
        <v>704</v>
      </c>
      <c r="F76" s="109" t="s">
        <v>43</v>
      </c>
      <c r="G76" s="29"/>
      <c r="H76" s="33"/>
      <c r="I76" s="32">
        <f t="shared" si="7"/>
        <v>1</v>
      </c>
      <c r="J76" s="30">
        <f t="shared" si="8"/>
        <v>0</v>
      </c>
      <c r="K76" s="32">
        <f t="shared" si="6"/>
        <v>0</v>
      </c>
      <c r="L76" s="161"/>
    </row>
    <row r="77" spans="2:12" ht="15.6" hidden="1" x14ac:dyDescent="0.3">
      <c r="B77" s="67" t="s">
        <v>705</v>
      </c>
      <c r="C77" s="67"/>
      <c r="D77" s="67"/>
      <c r="E77" s="67"/>
      <c r="F77" s="67"/>
      <c r="G77" s="76"/>
      <c r="H77" s="76"/>
      <c r="I77" s="76"/>
      <c r="J77" s="76"/>
      <c r="K77" s="76"/>
      <c r="L77" s="76"/>
    </row>
    <row r="78" spans="2:12" ht="30" hidden="1" customHeight="1" x14ac:dyDescent="0.3">
      <c r="B78" s="37" t="str">
        <f t="shared" si="5"/>
        <v>IExtDB</v>
      </c>
      <c r="C78" s="2">
        <f>IF(ISTEXT(D78),MAX($C$4:$C76)+1,"")</f>
        <v>62</v>
      </c>
      <c r="D78" s="159" t="s">
        <v>11</v>
      </c>
      <c r="E78" s="316" t="s">
        <v>706</v>
      </c>
      <c r="F78" s="109" t="s">
        <v>43</v>
      </c>
      <c r="G78" s="29"/>
      <c r="H78" s="33"/>
      <c r="I78" s="32">
        <f t="shared" si="7"/>
        <v>1</v>
      </c>
      <c r="J78" s="30">
        <f t="shared" si="8"/>
        <v>0</v>
      </c>
      <c r="K78" s="32">
        <f t="shared" si="6"/>
        <v>0</v>
      </c>
      <c r="L78" s="161"/>
    </row>
    <row r="79" spans="2:12" ht="9" customHeight="1" x14ac:dyDescent="0.3"/>
  </sheetData>
  <sheetProtection algorithmName="SHA-512" hashValue="FXk42nwjnpk4YyYqzSskHVWfWB0i58g6FPyuyOIKA2LjvNUJGi+zGOSOEHhAT8TC1NzrFsjWedWJ37f9lec9qg==" saltValue="oBTWu7lSO+s2P6uA5OAxiw==" spinCount="100000" sheet="1" selectLockedCells="1"/>
  <conditionalFormatting sqref="D4">
    <cfRule type="cellIs" dxfId="179" priority="10" operator="equal">
      <formula>"Important"</formula>
    </cfRule>
    <cfRule type="cellIs" dxfId="178" priority="11" operator="equal">
      <formula>"Crucial"</formula>
    </cfRule>
    <cfRule type="cellIs" dxfId="177" priority="12" operator="equal">
      <formula>"N/A"</formula>
    </cfRule>
  </conditionalFormatting>
  <conditionalFormatting sqref="D6:D8 D10:D12 D14:D28 D30:D31">
    <cfRule type="cellIs" dxfId="176" priority="7" operator="equal">
      <formula>"Important"</formula>
    </cfRule>
    <cfRule type="cellIs" dxfId="175" priority="8" operator="equal">
      <formula>"Crucial"</formula>
    </cfRule>
    <cfRule type="cellIs" dxfId="174" priority="9" operator="equal">
      <formula>"N/A"</formula>
    </cfRule>
  </conditionalFormatting>
  <conditionalFormatting sqref="D33:D47 D49:D50 D52:D61 D63:D66 D68:D69">
    <cfRule type="cellIs" dxfId="173" priority="1" operator="equal">
      <formula>"Important"</formula>
    </cfRule>
    <cfRule type="cellIs" dxfId="172" priority="2" operator="equal">
      <formula>"Crucial"</formula>
    </cfRule>
    <cfRule type="cellIs" dxfId="171" priority="3" operator="equal">
      <formula>"N/A"</formula>
    </cfRule>
  </conditionalFormatting>
  <conditionalFormatting sqref="D71:D72 D74">
    <cfRule type="cellIs" dxfId="170" priority="19" operator="equal">
      <formula>"Important"</formula>
    </cfRule>
    <cfRule type="cellIs" dxfId="169" priority="20" operator="equal">
      <formula>"Crucial"</formula>
    </cfRule>
    <cfRule type="cellIs" dxfId="168" priority="21" operator="equal">
      <formula>"N/A"</formula>
    </cfRule>
  </conditionalFormatting>
  <conditionalFormatting sqref="D76 D78">
    <cfRule type="cellIs" dxfId="167" priority="43" operator="equal">
      <formula>"Important"</formula>
    </cfRule>
    <cfRule type="cellIs" dxfId="166" priority="44" operator="equal">
      <formula>"Crucial"</formula>
    </cfRule>
    <cfRule type="cellIs" dxfId="165" priority="45" operator="equal">
      <formula>"N/A"</formula>
    </cfRule>
  </conditionalFormatting>
  <conditionalFormatting sqref="F4 F76 F78">
    <cfRule type="cellIs" dxfId="164" priority="31" operator="equal">
      <formula>"Function Not Available"</formula>
    </cfRule>
    <cfRule type="cellIs" dxfId="163" priority="32" operator="equal">
      <formula>"Function Available"</formula>
    </cfRule>
    <cfRule type="cellIs" dxfId="162" priority="33" operator="equal">
      <formula>"Exception"</formula>
    </cfRule>
  </conditionalFormatting>
  <conditionalFormatting sqref="F6:F28">
    <cfRule type="cellIs" dxfId="161" priority="25" operator="equal">
      <formula>"Function Not Available"</formula>
    </cfRule>
    <cfRule type="cellIs" dxfId="160" priority="26" operator="equal">
      <formula>"Function Available"</formula>
    </cfRule>
    <cfRule type="cellIs" dxfId="159" priority="27" operator="equal">
      <formula>"Exception"</formula>
    </cfRule>
  </conditionalFormatting>
  <conditionalFormatting sqref="F30:F47 F63:F66 F68:F69 F71:F72 F74">
    <cfRule type="cellIs" dxfId="158" priority="16" operator="equal">
      <formula>"Function Not Available"</formula>
    </cfRule>
    <cfRule type="cellIs" dxfId="157" priority="17" operator="equal">
      <formula>"Function Available"</formula>
    </cfRule>
    <cfRule type="cellIs" dxfId="156" priority="18" operator="equal">
      <formula>"Exception"</formula>
    </cfRule>
  </conditionalFormatting>
  <conditionalFormatting sqref="F49:F61">
    <cfRule type="cellIs" dxfId="155" priority="13" operator="equal">
      <formula>"Function Not Available"</formula>
    </cfRule>
    <cfRule type="cellIs" dxfId="154" priority="14" operator="equal">
      <formula>"Function Available"</formula>
    </cfRule>
    <cfRule type="cellIs" dxfId="153" priority="15" operator="equal">
      <formula>"Exception"</formula>
    </cfRule>
  </conditionalFormatting>
  <dataValidations count="3">
    <dataValidation type="list" allowBlank="1" showInputMessage="1" showErrorMessage="1" errorTitle="Invalid specification type" error="Please enter a Specification type from the drop-down list." sqref="F7:F8 F10:F12 F14:F28 F30:F31 F33:F47 F49:F50 F52:F61 F63:F66 F68:F69 F71:F72 F74 F76 F78" xr:uid="{00000000-0002-0000-1100-000000000000}">
      <formula1>AvailabilityType</formula1>
    </dataValidation>
    <dataValidation type="list" allowBlank="1" showInputMessage="1" showErrorMessage="1" sqref="D76 D78 D71:D72 D74 D4 D6:D8 D10:D12 D14:D28 D30:D31 D33:D47 D49:D50 D52:D61 D63:D66 D68:D69" xr:uid="{00000000-0002-0000-1100-000001000000}">
      <formula1>SpecType</formula1>
    </dataValidation>
    <dataValidation type="list" allowBlank="1" showInputMessage="1" showErrorMessage="1" sqref="F4 F6" xr:uid="{00000000-0002-0000-11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pageSetUpPr fitToPage="1"/>
  </sheetPr>
  <dimension ref="A1:M20"/>
  <sheetViews>
    <sheetView showGridLines="0" zoomScale="80" zoomScaleNormal="80" workbookViewId="0">
      <selection activeCell="D4" sqref="D4"/>
    </sheetView>
  </sheetViews>
  <sheetFormatPr defaultColWidth="0" defaultRowHeight="14.4" zeroHeight="1" x14ac:dyDescent="0.3"/>
  <cols>
    <col min="1" max="1" width="1.33203125" customWidth="1"/>
    <col min="2" max="2" width="11.6640625" customWidth="1"/>
    <col min="3" max="3" width="11.44140625" customWidth="1"/>
    <col min="4" max="4" width="23.33203125" style="145" customWidth="1"/>
    <col min="5" max="5" width="65.6640625" style="74" customWidth="1"/>
    <col min="6" max="6" width="28.6640625" customWidth="1"/>
    <col min="7" max="7" width="15.44140625" style="35" hidden="1" customWidth="1"/>
    <col min="8" max="11" width="12.6640625" hidden="1" customWidth="1"/>
    <col min="12" max="12" width="49.44140625" style="145" customWidth="1"/>
    <col min="13" max="13" width="8.6640625" customWidth="1"/>
    <col min="14" max="16384" width="8.6640625" hidden="1"/>
  </cols>
  <sheetData>
    <row r="1" spans="2:12" ht="6" customHeight="1" thickBot="1" x14ac:dyDescent="0.35"/>
    <row r="2" spans="2:12" ht="129" customHeight="1" thickBot="1" x14ac:dyDescent="0.35">
      <c r="B2" s="102" t="s">
        <v>44</v>
      </c>
      <c r="C2" s="102" t="s">
        <v>45</v>
      </c>
      <c r="D2" s="102" t="s">
        <v>46</v>
      </c>
      <c r="E2" s="102" t="s">
        <v>707</v>
      </c>
      <c r="F2" s="102" t="s">
        <v>42</v>
      </c>
      <c r="G2" s="103" t="s">
        <v>48</v>
      </c>
      <c r="H2" s="103" t="s">
        <v>49</v>
      </c>
      <c r="I2" s="104" t="s">
        <v>50</v>
      </c>
      <c r="J2" s="104" t="s">
        <v>51</v>
      </c>
      <c r="K2" s="105" t="s">
        <v>14</v>
      </c>
      <c r="L2" s="106" t="s">
        <v>52</v>
      </c>
    </row>
    <row r="3" spans="2:12" ht="16.2" thickBot="1" x14ac:dyDescent="0.35">
      <c r="B3" s="45" t="s">
        <v>708</v>
      </c>
      <c r="C3" s="8"/>
      <c r="D3" s="8"/>
      <c r="E3" s="8"/>
      <c r="F3" s="8"/>
      <c r="G3" s="34" t="s">
        <v>54</v>
      </c>
      <c r="H3" s="7">
        <f>COUNTA(D4:D478)</f>
        <v>7</v>
      </c>
      <c r="I3" s="24"/>
      <c r="J3" s="25" t="s">
        <v>55</v>
      </c>
      <c r="K3" s="26">
        <f t="shared" ref="K3" si="0">SUM(K4:K478)</f>
        <v>0</v>
      </c>
      <c r="L3" s="46"/>
    </row>
    <row r="4" spans="2:12" ht="30" customHeight="1" x14ac:dyDescent="0.3">
      <c r="B4" s="48" t="s">
        <v>709</v>
      </c>
      <c r="C4" s="2">
        <v>1</v>
      </c>
      <c r="D4" s="146" t="s">
        <v>11</v>
      </c>
      <c r="E4" s="36" t="s">
        <v>710</v>
      </c>
      <c r="F4" s="109" t="s">
        <v>43</v>
      </c>
      <c r="G4" s="29" t="s">
        <v>58</v>
      </c>
      <c r="H4" s="110">
        <f>COUNTIF(F4:F478,"Select from Drop Down")</f>
        <v>7</v>
      </c>
      <c r="I4" s="111">
        <f>VLOOKUP($D4,SpecData,2,FALSE)</f>
        <v>1</v>
      </c>
      <c r="J4" s="112">
        <f>VLOOKUP($F4,AvailabilityData,2,FALSE)</f>
        <v>0</v>
      </c>
      <c r="K4" s="113">
        <f>I4*J4</f>
        <v>0</v>
      </c>
      <c r="L4" s="47"/>
    </row>
    <row r="5" spans="2:12" ht="30" customHeight="1" x14ac:dyDescent="0.3">
      <c r="B5" s="48" t="str">
        <f>IF(C5="","",$B$4)</f>
        <v>IFAX</v>
      </c>
      <c r="C5" s="2">
        <f>IF(ISTEXT(D5),MAX($C$4:$C4)+1,"")</f>
        <v>2</v>
      </c>
      <c r="D5" s="146" t="s">
        <v>11</v>
      </c>
      <c r="E5" s="36" t="s">
        <v>711</v>
      </c>
      <c r="F5" s="109" t="s">
        <v>43</v>
      </c>
      <c r="G5" s="29" t="s">
        <v>60</v>
      </c>
      <c r="H5" s="110">
        <f>COUNTIF(F4:F478,"Function Available")</f>
        <v>0</v>
      </c>
      <c r="I5" s="111">
        <f>VLOOKUP($D5,SpecData,2,FALSE)</f>
        <v>1</v>
      </c>
      <c r="J5" s="112">
        <f>VLOOKUP($F5,AvailabilityData,2,FALSE)</f>
        <v>0</v>
      </c>
      <c r="K5" s="113">
        <f t="shared" ref="K5:K10" si="1">I5*J5</f>
        <v>0</v>
      </c>
      <c r="L5" s="47"/>
    </row>
    <row r="6" spans="2:12" ht="30" customHeight="1" x14ac:dyDescent="0.3">
      <c r="B6" s="48" t="str">
        <f>IF(C6="","",$B$4)</f>
        <v>IFAX</v>
      </c>
      <c r="C6" s="2">
        <f>IF(ISTEXT(D6),MAX($C$4:$C5)+1,"")</f>
        <v>3</v>
      </c>
      <c r="D6" s="146" t="s">
        <v>11</v>
      </c>
      <c r="E6" s="36" t="s">
        <v>712</v>
      </c>
      <c r="F6" s="109" t="s">
        <v>43</v>
      </c>
      <c r="G6" s="29" t="s">
        <v>62</v>
      </c>
      <c r="H6" s="33">
        <f>COUNTIF(F4:F478,"Function Not Available")</f>
        <v>0</v>
      </c>
      <c r="I6" s="111">
        <f t="shared" ref="I6:I10" si="2">VLOOKUP($D6,SpecData,2,FALSE)</f>
        <v>1</v>
      </c>
      <c r="J6" s="112">
        <f t="shared" ref="J6:J10" si="3">VLOOKUP($F6,AvailabilityData,2,FALSE)</f>
        <v>0</v>
      </c>
      <c r="K6" s="113">
        <f t="shared" si="1"/>
        <v>0</v>
      </c>
      <c r="L6" s="47"/>
    </row>
    <row r="7" spans="2:12" ht="30" customHeight="1" x14ac:dyDescent="0.3">
      <c r="B7" s="48" t="str">
        <f t="shared" ref="B7:B10" si="4">IF(C7="","",$B$4)</f>
        <v>IFAX</v>
      </c>
      <c r="C7" s="2">
        <f>IF(ISTEXT(D7),MAX($C$4:$C6)+1,"")</f>
        <v>4</v>
      </c>
      <c r="D7" s="146" t="s">
        <v>11</v>
      </c>
      <c r="E7" s="36" t="s">
        <v>713</v>
      </c>
      <c r="F7" s="109" t="s">
        <v>43</v>
      </c>
      <c r="G7" s="29" t="s">
        <v>64</v>
      </c>
      <c r="H7" s="33">
        <f>COUNTIF(F4:F478,"Exception")</f>
        <v>0</v>
      </c>
      <c r="I7" s="111">
        <f t="shared" si="2"/>
        <v>1</v>
      </c>
      <c r="J7" s="112">
        <f t="shared" si="3"/>
        <v>0</v>
      </c>
      <c r="K7" s="113">
        <f t="shared" si="1"/>
        <v>0</v>
      </c>
      <c r="L7" s="47"/>
    </row>
    <row r="8" spans="2:12" ht="30" customHeight="1" x14ac:dyDescent="0.3">
      <c r="B8" s="48" t="str">
        <f t="shared" si="4"/>
        <v>IFAX</v>
      </c>
      <c r="C8" s="2">
        <f>IF(ISTEXT(D8),MAX($C$4:$C7)+1,"")</f>
        <v>5</v>
      </c>
      <c r="D8" s="146" t="s">
        <v>11</v>
      </c>
      <c r="E8" s="65" t="s">
        <v>714</v>
      </c>
      <c r="F8" s="109" t="s">
        <v>43</v>
      </c>
      <c r="G8" s="29" t="s">
        <v>66</v>
      </c>
      <c r="H8" s="28">
        <f>COUNTIFS(D:D,"=Crucial",F:F,"=Select From Drop Down")</f>
        <v>0</v>
      </c>
      <c r="I8" s="111">
        <f t="shared" si="2"/>
        <v>1</v>
      </c>
      <c r="J8" s="112">
        <f t="shared" si="3"/>
        <v>0</v>
      </c>
      <c r="K8" s="113">
        <f t="shared" si="1"/>
        <v>0</v>
      </c>
      <c r="L8" s="47"/>
    </row>
    <row r="9" spans="2:12" ht="30" customHeight="1" x14ac:dyDescent="0.3">
      <c r="B9" s="48" t="str">
        <f t="shared" si="4"/>
        <v>IFAX</v>
      </c>
      <c r="C9" s="2">
        <f>IF(ISTEXT(D9),MAX($C$4:$C8)+1,"")</f>
        <v>6</v>
      </c>
      <c r="D9" s="146" t="s">
        <v>11</v>
      </c>
      <c r="E9" s="36" t="s">
        <v>715</v>
      </c>
      <c r="F9" s="109" t="s">
        <v>43</v>
      </c>
      <c r="G9" s="29" t="s">
        <v>68</v>
      </c>
      <c r="H9" s="28">
        <f>COUNTIFS(D:D,"=Crucial",F:F,"=Function Available")</f>
        <v>0</v>
      </c>
      <c r="I9" s="111">
        <f t="shared" si="2"/>
        <v>1</v>
      </c>
      <c r="J9" s="112">
        <f t="shared" si="3"/>
        <v>0</v>
      </c>
      <c r="K9" s="113">
        <f t="shared" si="1"/>
        <v>0</v>
      </c>
      <c r="L9" s="47"/>
    </row>
    <row r="10" spans="2:12" ht="30" customHeight="1" thickBot="1" x14ac:dyDescent="0.35">
      <c r="B10" s="52" t="str">
        <f t="shared" si="4"/>
        <v>IFAX</v>
      </c>
      <c r="C10" s="53">
        <f>IF(ISTEXT(D10),MAX($C$4:$C9)+1,"")</f>
        <v>7</v>
      </c>
      <c r="D10" s="147" t="s">
        <v>11</v>
      </c>
      <c r="E10" s="80" t="s">
        <v>716</v>
      </c>
      <c r="F10" s="117" t="s">
        <v>43</v>
      </c>
      <c r="G10" s="129" t="s">
        <v>70</v>
      </c>
      <c r="H10" s="131">
        <f>COUNTIFS(D:D,"=Crucial",F:F,"=Function Not Available")</f>
        <v>0</v>
      </c>
      <c r="I10" s="118">
        <f t="shared" si="2"/>
        <v>1</v>
      </c>
      <c r="J10" s="119">
        <f t="shared" si="3"/>
        <v>0</v>
      </c>
      <c r="K10" s="120">
        <f t="shared" si="1"/>
        <v>0</v>
      </c>
      <c r="L10" s="54"/>
    </row>
    <row r="11" spans="2:12" ht="30" hidden="1" customHeight="1" x14ac:dyDescent="0.3">
      <c r="B11" s="61"/>
      <c r="C11" s="61"/>
      <c r="D11" s="148"/>
      <c r="E11" s="79"/>
      <c r="F11" s="121"/>
      <c r="G11" s="34" t="s">
        <v>72</v>
      </c>
      <c r="H11" s="122">
        <f>COUNTIFS(D:D,"=Crucial",F:F,"=Exception")</f>
        <v>0</v>
      </c>
      <c r="I11" s="123"/>
      <c r="J11" s="124"/>
      <c r="K11" s="123"/>
      <c r="L11" s="44"/>
    </row>
    <row r="12" spans="2:12" ht="30" hidden="1" customHeight="1" x14ac:dyDescent="0.3">
      <c r="B12" s="73"/>
      <c r="C12" s="73"/>
      <c r="D12" s="149"/>
      <c r="E12" s="62"/>
      <c r="F12" s="125"/>
      <c r="G12" s="34" t="s">
        <v>74</v>
      </c>
      <c r="H12" s="122">
        <f>COUNTIFS(D:D,"=Important",F:F,"=Select From Drop Down")</f>
        <v>0</v>
      </c>
      <c r="I12" s="127"/>
      <c r="J12" s="128"/>
      <c r="K12" s="127"/>
      <c r="L12" s="38"/>
    </row>
    <row r="13" spans="2:12" ht="30" hidden="1" customHeight="1" x14ac:dyDescent="0.3">
      <c r="B13" s="73"/>
      <c r="C13" s="73"/>
      <c r="D13" s="149"/>
      <c r="E13" s="62"/>
      <c r="F13" s="125"/>
      <c r="G13" s="34" t="s">
        <v>76</v>
      </c>
      <c r="H13" s="122">
        <f>COUNTIFS(D:D,"=Important",F:F,"=Function Available")</f>
        <v>0</v>
      </c>
      <c r="I13" s="127"/>
      <c r="J13" s="128"/>
      <c r="K13" s="127"/>
      <c r="L13" s="38"/>
    </row>
    <row r="14" spans="2:12" ht="30" hidden="1" customHeight="1" x14ac:dyDescent="0.3">
      <c r="B14" s="73"/>
      <c r="C14" s="73"/>
      <c r="D14" s="149"/>
      <c r="E14" s="62"/>
      <c r="F14" s="125"/>
      <c r="G14" s="29" t="s">
        <v>78</v>
      </c>
      <c r="H14" s="126">
        <f>COUNTIFS(D:D,"=Important",F:F,"=Function Not Available")</f>
        <v>0</v>
      </c>
      <c r="I14" s="127"/>
      <c r="J14" s="128"/>
      <c r="K14" s="127"/>
      <c r="L14" s="38"/>
    </row>
    <row r="15" spans="2:12" ht="30" hidden="1" customHeight="1" x14ac:dyDescent="0.3">
      <c r="B15" s="73"/>
      <c r="C15" s="73"/>
      <c r="D15" s="149"/>
      <c r="E15" s="62"/>
      <c r="F15" s="125"/>
      <c r="G15" s="29" t="s">
        <v>80</v>
      </c>
      <c r="H15" s="126">
        <f>COUNTIFS(D:D,"=Important",F:F,"=Exception")</f>
        <v>0</v>
      </c>
      <c r="I15" s="127"/>
      <c r="J15" s="128"/>
      <c r="K15" s="127"/>
      <c r="L15" s="38"/>
    </row>
    <row r="16" spans="2:12" ht="30" hidden="1" customHeight="1" x14ac:dyDescent="0.3">
      <c r="B16" s="73"/>
      <c r="C16" s="73"/>
      <c r="D16" s="149"/>
      <c r="E16" s="62"/>
      <c r="F16" s="125"/>
      <c r="G16" s="29" t="s">
        <v>82</v>
      </c>
      <c r="H16" s="126">
        <f>COUNTIFS(D:D,"=Minimal",F:F,"=Select From Drop Down")</f>
        <v>7</v>
      </c>
      <c r="I16" s="127"/>
      <c r="J16" s="128"/>
      <c r="K16" s="127"/>
      <c r="L16" s="38"/>
    </row>
    <row r="17" spans="2:12" ht="30" hidden="1" customHeight="1" x14ac:dyDescent="0.3">
      <c r="B17" s="73"/>
      <c r="C17" s="73"/>
      <c r="D17" s="149"/>
      <c r="E17" s="62"/>
      <c r="F17" s="125"/>
      <c r="G17" s="29" t="s">
        <v>84</v>
      </c>
      <c r="H17" s="126">
        <f>COUNTIFS(D:D,"=Minimal",F:F,"=Function Available")</f>
        <v>0</v>
      </c>
      <c r="I17" s="127"/>
      <c r="J17" s="128"/>
      <c r="K17" s="127"/>
      <c r="L17" s="38"/>
    </row>
    <row r="18" spans="2:12" ht="30" hidden="1" customHeight="1" x14ac:dyDescent="0.3">
      <c r="B18" s="73"/>
      <c r="C18" s="73"/>
      <c r="D18" s="149"/>
      <c r="E18" s="62"/>
      <c r="F18" s="125"/>
      <c r="G18" s="29" t="s">
        <v>86</v>
      </c>
      <c r="H18" s="126">
        <f>COUNTIFS(D:D,"=Minimal",F:F,"=Function Not Available")</f>
        <v>0</v>
      </c>
      <c r="I18" s="127"/>
      <c r="J18" s="128"/>
      <c r="K18" s="127"/>
      <c r="L18" s="38"/>
    </row>
    <row r="19" spans="2:12" ht="30" hidden="1" customHeight="1" x14ac:dyDescent="0.3">
      <c r="B19" s="73"/>
      <c r="C19" s="73"/>
      <c r="D19" s="149"/>
      <c r="E19" s="62"/>
      <c r="F19" s="125"/>
      <c r="G19" s="29" t="s">
        <v>88</v>
      </c>
      <c r="H19" s="126">
        <f>COUNTIFS(D:D,"=Minimal",F:F,"=Exception")</f>
        <v>0</v>
      </c>
      <c r="I19" s="127"/>
      <c r="J19" s="128"/>
      <c r="K19" s="127"/>
      <c r="L19" s="38"/>
    </row>
    <row r="20" spans="2:12" ht="9" customHeight="1" x14ac:dyDescent="0.3"/>
  </sheetData>
  <sheetProtection selectLockedCells="1"/>
  <conditionalFormatting sqref="D4:D19">
    <cfRule type="cellIs" dxfId="152" priority="10" operator="equal">
      <formula>"Important"</formula>
    </cfRule>
    <cfRule type="cellIs" dxfId="151" priority="11" operator="equal">
      <formula>"Crucial"</formula>
    </cfRule>
    <cfRule type="cellIs" dxfId="150" priority="12" operator="equal">
      <formula>"N/A"</formula>
    </cfRule>
  </conditionalFormatting>
  <conditionalFormatting sqref="F4:F19">
    <cfRule type="cellIs" dxfId="149" priority="1" operator="equal">
      <formula>"Function Not Available"</formula>
    </cfRule>
    <cfRule type="cellIs" dxfId="148" priority="2" operator="equal">
      <formula>"Function Available"</formula>
    </cfRule>
    <cfRule type="cellIs" dxfId="147" priority="3" operator="equal">
      <formula>"Exception"</formula>
    </cfRule>
  </conditionalFormatting>
  <dataValidations count="3">
    <dataValidation type="list" allowBlank="1" showInputMessage="1" showErrorMessage="1" sqref="F4:F5" xr:uid="{00000000-0002-0000-1200-000000000000}">
      <formula1>AvailabilityType</formula1>
    </dataValidation>
    <dataValidation type="list" allowBlank="1" showInputMessage="1" showErrorMessage="1" sqref="D4:D10" xr:uid="{00000000-0002-0000-1200-000001000000}">
      <formula1>SpecType</formula1>
    </dataValidation>
    <dataValidation type="list" allowBlank="1" showInputMessage="1" showErrorMessage="1" errorTitle="Invalid specification type" error="Please enter a Specification type from the drop-down list." sqref="F6:F10" xr:uid="{00000000-0002-0000-1200-000002000000}">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M43"/>
  <sheetViews>
    <sheetView showGridLines="0" topLeftCell="A14" zoomScaleNormal="100" zoomScalePageLayoutView="40" workbookViewId="0">
      <selection activeCell="F32" sqref="F32:L32"/>
    </sheetView>
  </sheetViews>
  <sheetFormatPr defaultColWidth="0" defaultRowHeight="14.4" zeroHeight="1" x14ac:dyDescent="0.3"/>
  <cols>
    <col min="1" max="1" width="1.33203125" customWidth="1"/>
    <col min="2" max="2" width="25.44140625" customWidth="1"/>
    <col min="3" max="3" width="9.33203125" customWidth="1"/>
    <col min="4" max="4" width="3.6640625" style="145" customWidth="1"/>
    <col min="5" max="5" width="3.6640625" customWidth="1"/>
    <col min="6" max="6" width="42.6640625" customWidth="1"/>
    <col min="7" max="7" width="8.6640625" style="132" customWidth="1"/>
    <col min="8" max="11" width="11.33203125" style="132" customWidth="1"/>
    <col min="12" max="12" width="11.33203125" style="154" customWidth="1"/>
    <col min="13" max="13" width="9.33203125" customWidth="1"/>
    <col min="14" max="16384" width="9.33203125" hidden="1"/>
  </cols>
  <sheetData>
    <row r="1" spans="2:12" ht="5.7" customHeight="1" x14ac:dyDescent="0.3"/>
    <row r="2" spans="2:12" ht="44.25" customHeight="1" x14ac:dyDescent="0.3">
      <c r="B2" s="373" t="s">
        <v>34</v>
      </c>
      <c r="C2" s="373"/>
      <c r="D2" s="133"/>
      <c r="F2" s="134" t="s">
        <v>35</v>
      </c>
      <c r="G2" s="134" t="s">
        <v>36</v>
      </c>
      <c r="H2" s="134" t="s">
        <v>37</v>
      </c>
      <c r="I2" s="134" t="s">
        <v>8</v>
      </c>
      <c r="J2" s="134" t="s">
        <v>15</v>
      </c>
      <c r="K2" s="134" t="s">
        <v>16</v>
      </c>
      <c r="L2" s="134" t="s">
        <v>17</v>
      </c>
    </row>
    <row r="3" spans="2:12" x14ac:dyDescent="0.3">
      <c r="B3" s="135"/>
      <c r="C3" s="136"/>
      <c r="D3" s="137"/>
      <c r="F3" s="138" t="s">
        <v>38</v>
      </c>
      <c r="G3" s="139">
        <f>COUNTA(F5:F34)</f>
        <v>27</v>
      </c>
      <c r="H3" s="139">
        <f>SUM(H5:H31)</f>
        <v>979</v>
      </c>
      <c r="I3" s="139">
        <f>SUM(I5:I31)</f>
        <v>979</v>
      </c>
      <c r="J3" s="139">
        <f>SUM(J5:J31)</f>
        <v>0</v>
      </c>
      <c r="K3" s="139">
        <f>SUM(K5:K31)</f>
        <v>0</v>
      </c>
      <c r="L3" s="139">
        <f>SUM(L5:L31)</f>
        <v>0</v>
      </c>
    </row>
    <row r="4" spans="2:12" ht="15" thickBot="1" x14ac:dyDescent="0.35">
      <c r="B4" s="14" t="s">
        <v>39</v>
      </c>
      <c r="C4" s="13" t="s">
        <v>40</v>
      </c>
      <c r="D4" s="150"/>
    </row>
    <row r="5" spans="2:12" x14ac:dyDescent="0.3">
      <c r="B5" s="15" t="s">
        <v>9</v>
      </c>
      <c r="C5" s="4">
        <v>3</v>
      </c>
      <c r="D5" s="151"/>
      <c r="F5" s="138" t="str">
        <f>'General Interface'!B3</f>
        <v>CAD Interface General Requirements</v>
      </c>
      <c r="G5" s="139"/>
      <c r="H5" s="139">
        <f>'General Interface'!H3</f>
        <v>39</v>
      </c>
      <c r="I5" s="139">
        <f>'General Interface'!H4</f>
        <v>39</v>
      </c>
      <c r="J5" s="139">
        <f>'General Interface'!H5</f>
        <v>0</v>
      </c>
      <c r="K5" s="139">
        <f>'General Interface'!H6</f>
        <v>0</v>
      </c>
      <c r="L5" s="155">
        <f>'General Interface'!H7</f>
        <v>0</v>
      </c>
    </row>
    <row r="6" spans="2:12" x14ac:dyDescent="0.3">
      <c r="B6" s="16" t="s">
        <v>10</v>
      </c>
      <c r="C6" s="5">
        <v>2</v>
      </c>
      <c r="D6" s="151"/>
      <c r="F6" s="138" t="str">
        <f>'Alarm Monitoring'!B3</f>
        <v>CAD Interface Alarm Monitoring</v>
      </c>
      <c r="G6" s="139"/>
      <c r="H6" s="139">
        <f>'Alarm Monitoring'!H3</f>
        <v>9</v>
      </c>
      <c r="I6" s="139">
        <f>'Alarm Monitoring'!H4</f>
        <v>9</v>
      </c>
      <c r="J6" s="139">
        <f>'Alarm Monitoring'!H5</f>
        <v>0</v>
      </c>
      <c r="K6" s="139">
        <f>'Alarm Monitoring'!H6</f>
        <v>0</v>
      </c>
      <c r="L6" s="155">
        <f>'Alarm Monitoring'!H7</f>
        <v>0</v>
      </c>
    </row>
    <row r="7" spans="2:12" x14ac:dyDescent="0.3">
      <c r="B7" s="16" t="s">
        <v>11</v>
      </c>
      <c r="C7" s="5">
        <v>1</v>
      </c>
      <c r="D7" s="151"/>
      <c r="F7" s="138" t="str">
        <f>'Alarm Tracking and Billing'!B3</f>
        <v>CAD Interface Alarm Tracking and Billing</v>
      </c>
      <c r="G7" s="139"/>
      <c r="H7" s="139">
        <f>'Alarm Tracking and Billing'!$H3</f>
        <v>8</v>
      </c>
      <c r="I7" s="139">
        <f>'Alarm Tracking and Billing'!$H4</f>
        <v>8</v>
      </c>
      <c r="J7" s="139">
        <f>'Alarm Tracking and Billing'!$H5</f>
        <v>0</v>
      </c>
      <c r="K7" s="139">
        <f>'Alarm Tracking and Billing'!$H6</f>
        <v>0</v>
      </c>
      <c r="L7" s="155">
        <f>'Alarm Tracking and Billing'!$H7</f>
        <v>0</v>
      </c>
    </row>
    <row r="8" spans="2:12" ht="15" thickBot="1" x14ac:dyDescent="0.35">
      <c r="B8" s="17" t="s">
        <v>41</v>
      </c>
      <c r="C8" s="6">
        <v>0</v>
      </c>
      <c r="D8" s="151"/>
      <c r="F8" s="138" t="str">
        <f>'Alerting Interface'!B3</f>
        <v>CAD Interface Alerting</v>
      </c>
      <c r="G8" s="139"/>
      <c r="H8" s="139">
        <f>'Alerting Interface'!H3</f>
        <v>46</v>
      </c>
      <c r="I8" s="139">
        <f>'Alerting Interface'!H4</f>
        <v>46</v>
      </c>
      <c r="J8" s="139">
        <f>'Alerting Interface'!H6</f>
        <v>0</v>
      </c>
      <c r="K8" s="139">
        <f>'Alerting Interface'!H7</f>
        <v>0</v>
      </c>
      <c r="L8" s="155">
        <f>'Alerting Interface'!H8</f>
        <v>0</v>
      </c>
    </row>
    <row r="9" spans="2:12" x14ac:dyDescent="0.3">
      <c r="B9" s="140"/>
      <c r="D9" s="152"/>
      <c r="F9" s="138" t="str">
        <f>'Alpha-Text Paging Interface'!B3</f>
        <v>CAD Interface Alphanumeric / Text Paging</v>
      </c>
      <c r="G9" s="139"/>
      <c r="H9" s="139">
        <f>'Alpha-Text Paging Interface'!H3</f>
        <v>46</v>
      </c>
      <c r="I9" s="139">
        <f>'Alpha-Text Paging Interface'!H4</f>
        <v>46</v>
      </c>
      <c r="J9" s="139">
        <f>'Alpha-Text Paging Interface'!H6</f>
        <v>0</v>
      </c>
      <c r="K9" s="139">
        <f>'Alpha-Text Paging Interface'!H7</f>
        <v>0</v>
      </c>
      <c r="L9" s="155">
        <f>'Alpha-Text Paging Interface'!H8</f>
        <v>0</v>
      </c>
    </row>
    <row r="10" spans="2:12" x14ac:dyDescent="0.3">
      <c r="B10" s="140"/>
      <c r="D10" s="152"/>
      <c r="F10" s="138" t="str">
        <f>'AVL Interface'!B3</f>
        <v>CAD Interface AVL</v>
      </c>
      <c r="G10" s="139"/>
      <c r="H10" s="139">
        <f>'AVL Interface'!H3</f>
        <v>28</v>
      </c>
      <c r="I10" s="139">
        <f>'AVL Interface'!H4</f>
        <v>28</v>
      </c>
      <c r="J10" s="139">
        <f>'AVL Interface'!H5</f>
        <v>0</v>
      </c>
      <c r="K10" s="139">
        <f>'AVL Interface'!H6</f>
        <v>0</v>
      </c>
      <c r="L10" s="155">
        <f>'AVL Interface'!H7</f>
        <v>0</v>
      </c>
    </row>
    <row r="11" spans="2:12" ht="15" thickBot="1" x14ac:dyDescent="0.35">
      <c r="B11" s="14" t="s">
        <v>42</v>
      </c>
      <c r="C11" s="13" t="s">
        <v>40</v>
      </c>
      <c r="D11" s="150"/>
      <c r="F11" s="138" t="str">
        <f>'Dynamic Radio Re-Grouping'!B3</f>
        <v>CAD Interface Dynamic Radio Re-Grouping</v>
      </c>
      <c r="G11" s="139"/>
      <c r="H11" s="139">
        <f>'Dynamic Radio Re-Grouping'!H3</f>
        <v>6</v>
      </c>
      <c r="I11" s="139">
        <f>'Dynamic Radio Re-Grouping'!H4</f>
        <v>6</v>
      </c>
      <c r="J11" s="139">
        <f>'Dynamic Radio Re-Grouping'!H5</f>
        <v>0</v>
      </c>
      <c r="K11" s="139">
        <f>'Dynamic Radio Re-Grouping'!H6</f>
        <v>0</v>
      </c>
      <c r="L11" s="139">
        <f>'Dynamic Radio Re-Grouping'!H7</f>
        <v>0</v>
      </c>
    </row>
    <row r="12" spans="2:12" x14ac:dyDescent="0.3">
      <c r="B12" s="15" t="s">
        <v>43</v>
      </c>
      <c r="C12" s="4">
        <v>0</v>
      </c>
      <c r="D12" s="151"/>
      <c r="F12" s="138" t="str">
        <f>CAD2CAD!B3</f>
        <v>CAD Interface CAD2CAD</v>
      </c>
      <c r="G12" s="139"/>
      <c r="H12" s="139">
        <f>CAD2CAD!H3</f>
        <v>30</v>
      </c>
      <c r="I12" s="139">
        <f>CAD2CAD!H4</f>
        <v>30</v>
      </c>
      <c r="J12" s="139">
        <f>CAD2CAD!H6</f>
        <v>0</v>
      </c>
      <c r="K12" s="139">
        <f>CAD2CAD!H8</f>
        <v>0</v>
      </c>
      <c r="L12" s="155">
        <f>CAD2CAD!H9</f>
        <v>0</v>
      </c>
    </row>
    <row r="13" spans="2:12" x14ac:dyDescent="0.3">
      <c r="B13" s="16" t="s">
        <v>15</v>
      </c>
      <c r="C13" s="5">
        <v>1</v>
      </c>
      <c r="D13" s="151"/>
      <c r="F13" s="138" t="str">
        <f>'LiveScan Module'!B3</f>
        <v>CAD Interface Dynamic LiveScan Module</v>
      </c>
      <c r="G13" s="139"/>
      <c r="H13" s="139">
        <f>'LiveScan Module'!H3</f>
        <v>7</v>
      </c>
      <c r="I13" s="139">
        <f>'LiveScan Module'!H4</f>
        <v>7</v>
      </c>
      <c r="J13" s="139">
        <f>'LiveScan Module'!H5</f>
        <v>0</v>
      </c>
      <c r="K13" s="139">
        <f>'LiveScan Module'!H6</f>
        <v>0</v>
      </c>
      <c r="L13" s="155">
        <f>'LiveScan Module'!H7</f>
        <v>0</v>
      </c>
    </row>
    <row r="14" spans="2:12" x14ac:dyDescent="0.3">
      <c r="B14" s="16" t="s">
        <v>16</v>
      </c>
      <c r="C14" s="5">
        <v>0</v>
      </c>
      <c r="D14" s="151"/>
      <c r="F14" s="138" t="str">
        <f>'Dispatch Protocol Software'!B3</f>
        <v>CAD Dispatch Protocol Software</v>
      </c>
      <c r="G14" s="139"/>
      <c r="H14" s="139">
        <f>'Dispatch Protocol Software'!H3</f>
        <v>44</v>
      </c>
      <c r="I14" s="139">
        <f>'Dispatch Protocol Software'!H4</f>
        <v>44</v>
      </c>
      <c r="J14" s="139">
        <f>'Dispatch Protocol Software'!H5</f>
        <v>0</v>
      </c>
      <c r="K14" s="139">
        <f>'Dispatch Protocol Software'!H6</f>
        <v>0</v>
      </c>
      <c r="L14" s="155">
        <f>'Dispatch Protocol Software'!H8</f>
        <v>0</v>
      </c>
    </row>
    <row r="15" spans="2:12" ht="15" thickBot="1" x14ac:dyDescent="0.35">
      <c r="B15" s="17" t="s">
        <v>17</v>
      </c>
      <c r="C15" s="6">
        <v>0</v>
      </c>
      <c r="D15" s="151"/>
      <c r="F15" s="143" t="str">
        <f>'E9-1-1 Interface'!B3</f>
        <v>CAD Interface E9-1-1</v>
      </c>
      <c r="G15" s="144"/>
      <c r="H15" s="144">
        <f>'E9-1-1 Interface'!H3</f>
        <v>19</v>
      </c>
      <c r="I15" s="144">
        <f>'E9-1-1 Interface'!H4</f>
        <v>19</v>
      </c>
      <c r="J15" s="144">
        <f>'E9-1-1 Interface'!H5</f>
        <v>0</v>
      </c>
      <c r="K15" s="144">
        <f>'E9-1-1 Interface'!H6</f>
        <v>0</v>
      </c>
      <c r="L15" s="156">
        <f>'E9-1-1 Interface'!H7</f>
        <v>0</v>
      </c>
    </row>
    <row r="16" spans="2:12" x14ac:dyDescent="0.3">
      <c r="B16" s="141"/>
      <c r="C16" s="142"/>
      <c r="D16" s="153"/>
      <c r="F16" s="138" t="str">
        <f>'Emergency Notification System'!B3</f>
        <v>CAD Interface Emergency Notification System</v>
      </c>
      <c r="G16" s="139"/>
      <c r="H16" s="139">
        <f>'Emergency Notification System'!H3</f>
        <v>11</v>
      </c>
      <c r="I16" s="144">
        <f>'Emergency Notification System'!H4</f>
        <v>11</v>
      </c>
      <c r="J16" s="144">
        <f>'Emergency Notification System'!H5</f>
        <v>0</v>
      </c>
      <c r="K16" s="144">
        <f>'Emergency Notification System'!H7</f>
        <v>0</v>
      </c>
      <c r="L16" s="156">
        <f>'Emergency Notification System'!H8</f>
        <v>0</v>
      </c>
    </row>
    <row r="17" spans="6:12" x14ac:dyDescent="0.3">
      <c r="F17" s="138" t="str">
        <f>ePCR!B3</f>
        <v>CAD Interface ePCR</v>
      </c>
      <c r="G17" s="139"/>
      <c r="H17" s="139">
        <f>ePCR!H3</f>
        <v>200</v>
      </c>
      <c r="I17" s="144">
        <f>ePCR!H4</f>
        <v>200</v>
      </c>
      <c r="J17" s="144">
        <f>ePCR!H5</f>
        <v>0</v>
      </c>
      <c r="K17" s="144">
        <f>ePCR!H6</f>
        <v>0</v>
      </c>
      <c r="L17" s="156">
        <f>ePCR!H7</f>
        <v>0</v>
      </c>
    </row>
    <row r="18" spans="6:12" x14ac:dyDescent="0.3">
      <c r="F18" s="138" t="str">
        <f>'External Databases'!B3</f>
        <v>CAD Interface External Databases</v>
      </c>
      <c r="G18" s="139"/>
      <c r="H18" s="139">
        <f>'External Databases'!H3</f>
        <v>62</v>
      </c>
      <c r="I18" s="144">
        <f>'External Databases'!H4</f>
        <v>62</v>
      </c>
      <c r="J18" s="144">
        <f>'External Databases'!H6</f>
        <v>0</v>
      </c>
      <c r="K18" s="144">
        <f>'External Databases'!H7</f>
        <v>0</v>
      </c>
      <c r="L18" s="156">
        <f>'External Databases'!H8</f>
        <v>0</v>
      </c>
    </row>
    <row r="19" spans="6:12" x14ac:dyDescent="0.3">
      <c r="F19" s="138" t="str">
        <f>FRMS!B3</f>
        <v>CAD Interface Firehouse Software</v>
      </c>
      <c r="G19" s="139"/>
      <c r="H19" s="139">
        <f>FRMS!H3</f>
        <v>21</v>
      </c>
      <c r="I19" s="139">
        <f>FRMS!H4</f>
        <v>21</v>
      </c>
      <c r="J19" s="139">
        <f>FRMS!H5</f>
        <v>0</v>
      </c>
      <c r="K19" s="139">
        <f>FRMS!H6</f>
        <v>0</v>
      </c>
      <c r="L19" s="155">
        <f>FRMS!H7</f>
        <v>0</v>
      </c>
    </row>
    <row r="20" spans="6:12" x14ac:dyDescent="0.3">
      <c r="F20" s="138" t="str">
        <f>Forms!B3</f>
        <v>CAD Interface Forms/Report Writing Tool</v>
      </c>
      <c r="G20" s="139"/>
      <c r="H20" s="139">
        <f>Forms!H3</f>
        <v>7</v>
      </c>
      <c r="I20" s="139">
        <f>Forms!H4</f>
        <v>7</v>
      </c>
      <c r="J20" s="139">
        <f>Forms!H5</f>
        <v>0</v>
      </c>
      <c r="K20" s="139">
        <f>Forms!H6</f>
        <v>0</v>
      </c>
      <c r="L20" s="155">
        <f>Forms!H7</f>
        <v>0</v>
      </c>
    </row>
    <row r="21" spans="6:12" x14ac:dyDescent="0.3">
      <c r="F21" s="138" t="str">
        <f>'Hazardous Materials'!B3</f>
        <v>CAD Interface Hazardous Materials</v>
      </c>
      <c r="G21" s="139"/>
      <c r="H21" s="139">
        <f>'Hazardous Materials'!H3</f>
        <v>31</v>
      </c>
      <c r="I21" s="139">
        <f>'Hazardous Materials'!H4</f>
        <v>31</v>
      </c>
      <c r="J21" s="139">
        <f>'Hazardous Materials'!H5</f>
        <v>0</v>
      </c>
      <c r="K21" s="139">
        <f>'Hazardous Materials'!H6</f>
        <v>0</v>
      </c>
      <c r="L21" s="155">
        <f>'Hazardous Materials'!H8</f>
        <v>0</v>
      </c>
    </row>
    <row r="22" spans="6:12" x14ac:dyDescent="0.3">
      <c r="F22" s="138" t="str">
        <f>'Logging Recorder'!B3</f>
        <v>CAD Interface Logging Recorder</v>
      </c>
      <c r="G22" s="139"/>
      <c r="H22" s="139">
        <f>'Logging Recorder'!H3</f>
        <v>6</v>
      </c>
      <c r="I22" s="139">
        <f>'Logging Recorder'!H4</f>
        <v>6</v>
      </c>
      <c r="J22" s="139">
        <f>'Logging Recorder'!H5</f>
        <v>0</v>
      </c>
      <c r="K22" s="139">
        <f>'Logging Recorder'!H6</f>
        <v>0</v>
      </c>
      <c r="L22" s="155">
        <f>'Logging Recorder'!H7</f>
        <v>0</v>
      </c>
    </row>
    <row r="23" spans="6:12" x14ac:dyDescent="0.3">
      <c r="F23" s="138" t="str">
        <f>NextGen!B3</f>
        <v>CAD Interface NextGen 911</v>
      </c>
      <c r="G23" s="139"/>
      <c r="H23" s="139">
        <f>NextGen!H3</f>
        <v>18</v>
      </c>
      <c r="I23" s="139">
        <f>NextGen!H4</f>
        <v>18</v>
      </c>
      <c r="J23" s="139">
        <f>NextGen!H5</f>
        <v>0</v>
      </c>
      <c r="K23" s="139">
        <f>NextGen!H6</f>
        <v>0</v>
      </c>
      <c r="L23" s="155">
        <f>NextGen!H7</f>
        <v>0</v>
      </c>
    </row>
    <row r="24" spans="6:12" x14ac:dyDescent="0.3">
      <c r="F24" s="138" t="str">
        <f>'PSAP Master Clock'!B3</f>
        <v>CAD Interface PSAP Master Clock</v>
      </c>
      <c r="G24" s="139"/>
      <c r="H24" s="139">
        <f>'PSAP Master Clock'!H3</f>
        <v>12</v>
      </c>
      <c r="I24" s="139">
        <f>'PSAP Master Clock'!H4</f>
        <v>12</v>
      </c>
      <c r="J24" s="139">
        <f>'PSAP Master Clock'!H5</f>
        <v>0</v>
      </c>
      <c r="K24" s="139">
        <f>'PSAP Master Clock'!H6</f>
        <v>0</v>
      </c>
      <c r="L24" s="155">
        <f>'PSAP Master Clock'!H7</f>
        <v>0</v>
      </c>
    </row>
    <row r="25" spans="6:12" x14ac:dyDescent="0.3">
      <c r="F25" s="138" t="str">
        <f>Pictometry!B3</f>
        <v>CAD Interface Pictometry</v>
      </c>
      <c r="G25" s="139"/>
      <c r="H25" s="139">
        <f>Pictometry!H3</f>
        <v>9</v>
      </c>
      <c r="I25" s="139">
        <f>Pictometry!H4</f>
        <v>9</v>
      </c>
      <c r="J25" s="139">
        <f>Pictometry!H5</f>
        <v>0</v>
      </c>
      <c r="K25" s="139">
        <f>Pictometry!H6</f>
        <v>0</v>
      </c>
      <c r="L25" s="155">
        <f>Pictometry!H7</f>
        <v>0</v>
      </c>
    </row>
    <row r="26" spans="6:12" x14ac:dyDescent="0.3">
      <c r="F26" s="138" t="str">
        <f>'Radio System'!B3</f>
        <v>CAD Interface Radio System</v>
      </c>
      <c r="G26" s="139"/>
      <c r="H26" s="139">
        <f>'Radio System'!H3</f>
        <v>50</v>
      </c>
      <c r="I26" s="139">
        <f>'Radio System'!H4</f>
        <v>50</v>
      </c>
      <c r="J26" s="139">
        <f>'Radio System'!H5</f>
        <v>0</v>
      </c>
      <c r="K26" s="139">
        <f>'Radio System'!H7</f>
        <v>0</v>
      </c>
      <c r="L26" s="155">
        <f>'Radio System'!H8</f>
        <v>0</v>
      </c>
    </row>
    <row r="27" spans="6:12" x14ac:dyDescent="0.3">
      <c r="F27" s="138" t="str">
        <f>'Rip and Run'!B3</f>
        <v>CAD Interface Rip and Run</v>
      </c>
      <c r="G27" s="139"/>
      <c r="H27" s="139">
        <f>'Rip and Run'!H3</f>
        <v>27</v>
      </c>
      <c r="I27" s="139">
        <f>'Rip and Run'!H4</f>
        <v>27</v>
      </c>
      <c r="J27" s="139">
        <f>'Rip and Run'!H5</f>
        <v>0</v>
      </c>
      <c r="K27" s="139">
        <f>'Rip and Run'!H6</f>
        <v>0</v>
      </c>
      <c r="L27" s="155">
        <f>'Rip and Run'!H8</f>
        <v>0</v>
      </c>
    </row>
    <row r="28" spans="6:12" x14ac:dyDescent="0.3">
      <c r="F28" s="138" t="str">
        <f>Staffing!B3</f>
        <v>CAD Interface Staffing</v>
      </c>
      <c r="G28" s="139"/>
      <c r="H28" s="139">
        <f>Staffing!H3</f>
        <v>147</v>
      </c>
      <c r="I28" s="139">
        <f>Staffing!H4</f>
        <v>147</v>
      </c>
      <c r="J28" s="139">
        <f>Staffing!H5</f>
        <v>0</v>
      </c>
      <c r="K28" s="139">
        <f>Staffing!H6</f>
        <v>0</v>
      </c>
      <c r="L28" s="155">
        <f>Staffing!H7</f>
        <v>0</v>
      </c>
    </row>
    <row r="29" spans="6:12" x14ac:dyDescent="0.3">
      <c r="F29" s="138" t="str">
        <f>'State NCIC Interface'!B3</f>
        <v>CAD Interface LE State / NCIC</v>
      </c>
      <c r="G29" s="139"/>
      <c r="H29" s="139">
        <f>'State NCIC Interface'!H3</f>
        <v>48</v>
      </c>
      <c r="I29" s="139">
        <f>'State NCIC Interface'!H4</f>
        <v>48</v>
      </c>
      <c r="J29" s="139">
        <f>'State NCIC Interface'!H5</f>
        <v>0</v>
      </c>
      <c r="K29" s="139">
        <f>'State NCIC Interface'!H6</f>
        <v>0</v>
      </c>
      <c r="L29" s="155">
        <f>'State NCIC Interface'!H7</f>
        <v>0</v>
      </c>
    </row>
    <row r="30" spans="6:12" x14ac:dyDescent="0.3">
      <c r="F30" s="138" t="str">
        <f>'TDD-TTY'!B3</f>
        <v>CAD Interface TDD / TDY</v>
      </c>
      <c r="G30" s="139"/>
      <c r="H30" s="139">
        <f>'TDD-TTY'!H3</f>
        <v>9</v>
      </c>
      <c r="I30" s="139">
        <f>'TDD-TTY'!H4</f>
        <v>9</v>
      </c>
      <c r="J30" s="139">
        <f>'TDD-TTY'!H5</f>
        <v>0</v>
      </c>
      <c r="K30" s="139">
        <f>'TDD-TTY'!H6</f>
        <v>0</v>
      </c>
      <c r="L30" s="155">
        <f>'TDD-TTY'!H7</f>
        <v>0</v>
      </c>
    </row>
    <row r="31" spans="6:12" x14ac:dyDescent="0.3">
      <c r="F31" s="138" t="str">
        <f>'Web CAD Interface'!B3</f>
        <v>CAD Interface Web CAD</v>
      </c>
      <c r="G31" s="139"/>
      <c r="H31" s="139">
        <f>'Web CAD Interface'!H3</f>
        <v>39</v>
      </c>
      <c r="I31" s="139">
        <f>'Web CAD Interface'!H4</f>
        <v>39</v>
      </c>
      <c r="J31" s="139">
        <f>'Web CAD Interface'!H5</f>
        <v>0</v>
      </c>
      <c r="K31" s="139">
        <f>'Web CAD Interface'!H6</f>
        <v>0</v>
      </c>
      <c r="L31" s="155">
        <f>'Web CAD Interface'!H7</f>
        <v>0</v>
      </c>
    </row>
    <row r="32" spans="6:12"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sheetData>
  <sheetProtection algorithmName="SHA-512" hashValue="Pypw1/8VGewhC02gTQ4y8jmmpFazJwlxF1KSsSlDwJf0a6VNdQrfeDaKC/tujghMsMFC4Vy819xlPXBFls1wmA==" saltValue="a9rFy3rQuVIxZUOybR9IPg==" spinCount="100000" sheet="1" objects="1" scenarios="1"/>
  <mergeCells count="1">
    <mergeCell ref="B2:C2"/>
  </mergeCells>
  <pageMargins left="0.7" right="0.7" top="0.75" bottom="0.75" header="0.3" footer="0.3"/>
  <pageSetup scale="50" fitToHeight="0" orientation="portrait" r:id="rId1"/>
  <headerFooter>
    <oddHeader>&amp;CLos Alamos, NM
&amp;F&amp;R&amp;A</oddHeader>
    <oddFooter>&amp;LTSSI Consulting LLC, June 2015&amp;CPage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FFCC00"/>
  </sheetPr>
  <dimension ref="A1:M26"/>
  <sheetViews>
    <sheetView showGridLines="0" zoomScale="80" zoomScaleNormal="80" zoomScalePageLayoutView="40" workbookViewId="0">
      <selection activeCell="F4" sqref="F4"/>
    </sheetView>
  </sheetViews>
  <sheetFormatPr defaultColWidth="0" defaultRowHeight="14.4" zeroHeight="1" x14ac:dyDescent="0.3"/>
  <cols>
    <col min="1" max="1" width="1.441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6.6" customHeight="1" x14ac:dyDescent="0.3"/>
    <row r="2" spans="2:12" s="158" customFormat="1" ht="129" customHeight="1" thickBot="1" x14ac:dyDescent="0.3">
      <c r="B2" s="96" t="s">
        <v>44</v>
      </c>
      <c r="C2" s="97" t="s">
        <v>45</v>
      </c>
      <c r="D2" s="97" t="s">
        <v>46</v>
      </c>
      <c r="E2" s="97" t="s">
        <v>1250</v>
      </c>
      <c r="F2" s="97" t="s">
        <v>42</v>
      </c>
      <c r="G2" s="98" t="s">
        <v>48</v>
      </c>
      <c r="H2" s="98" t="s">
        <v>49</v>
      </c>
      <c r="I2" s="99" t="s">
        <v>50</v>
      </c>
      <c r="J2" s="99" t="s">
        <v>51</v>
      </c>
      <c r="K2" s="100" t="s">
        <v>14</v>
      </c>
      <c r="L2" s="101" t="s">
        <v>52</v>
      </c>
    </row>
    <row r="3" spans="2:12" ht="16.2" thickBot="1" x14ac:dyDescent="0.35">
      <c r="B3" s="8" t="s">
        <v>717</v>
      </c>
      <c r="C3" s="8"/>
      <c r="D3" s="8"/>
      <c r="E3" s="8"/>
      <c r="F3" s="8"/>
      <c r="G3" s="34" t="s">
        <v>54</v>
      </c>
      <c r="H3" s="7">
        <f>COUNTA(D4:D501)</f>
        <v>21</v>
      </c>
      <c r="I3" s="24"/>
      <c r="J3" s="25" t="s">
        <v>55</v>
      </c>
      <c r="K3" s="26">
        <f>SUM(K4:K501)</f>
        <v>0</v>
      </c>
      <c r="L3" s="8"/>
    </row>
    <row r="4" spans="2:12" ht="30" customHeight="1" x14ac:dyDescent="0.3">
      <c r="B4" s="37" t="s">
        <v>1249</v>
      </c>
      <c r="C4" s="2">
        <v>1</v>
      </c>
      <c r="D4" s="159" t="s">
        <v>11</v>
      </c>
      <c r="E4" s="162" t="s">
        <v>718</v>
      </c>
      <c r="F4" s="176" t="s">
        <v>43</v>
      </c>
      <c r="G4" s="177" t="s">
        <v>58</v>
      </c>
      <c r="H4" s="178">
        <f>COUNTIF(F4:F501,"Select from Drop Down")</f>
        <v>21</v>
      </c>
      <c r="I4" s="179">
        <f>VLOOKUP($D4,SpecData,2,FALSE)</f>
        <v>1</v>
      </c>
      <c r="J4" s="180">
        <f>VLOOKUP($F4,AvailabilityData,2,FALSE)</f>
        <v>0</v>
      </c>
      <c r="K4" s="181">
        <f>I4*J4</f>
        <v>0</v>
      </c>
      <c r="L4" s="38"/>
    </row>
    <row r="5" spans="2:12" ht="30" customHeight="1" x14ac:dyDescent="0.3">
      <c r="B5" s="37" t="str">
        <f>IF(C5="","",$B$4)</f>
        <v>IFRMS</v>
      </c>
      <c r="C5" s="2">
        <v>2</v>
      </c>
      <c r="D5" s="159" t="s">
        <v>11</v>
      </c>
      <c r="E5" s="329" t="s">
        <v>719</v>
      </c>
      <c r="F5" s="176" t="s">
        <v>43</v>
      </c>
      <c r="G5" s="177" t="s">
        <v>60</v>
      </c>
      <c r="H5" s="178">
        <f>COUNTIF(F4:F501,"Function Available")</f>
        <v>0</v>
      </c>
      <c r="I5" s="179">
        <f>VLOOKUP($D5,SpecData,2,FALSE)</f>
        <v>1</v>
      </c>
      <c r="J5" s="180">
        <f>VLOOKUP($F5,AvailabilityData,2,FALSE)</f>
        <v>0</v>
      </c>
      <c r="K5" s="181">
        <f>I5*J5</f>
        <v>0</v>
      </c>
      <c r="L5" s="38"/>
    </row>
    <row r="6" spans="2:12" ht="30" customHeight="1" x14ac:dyDescent="0.3">
      <c r="B6" s="37" t="str">
        <f t="shared" ref="B6:B25" si="0">IF(C6="","",$B$4)</f>
        <v>IFRMS</v>
      </c>
      <c r="C6" s="2">
        <v>3</v>
      </c>
      <c r="D6" s="159" t="s">
        <v>11</v>
      </c>
      <c r="E6" s="329" t="s">
        <v>720</v>
      </c>
      <c r="F6" s="176" t="s">
        <v>43</v>
      </c>
      <c r="G6" s="177" t="s">
        <v>62</v>
      </c>
      <c r="H6" s="184">
        <f>COUNTIF(F4:F501,"Function Not Available")</f>
        <v>0</v>
      </c>
      <c r="I6" s="179">
        <f t="shared" ref="I6:I12" si="1">VLOOKUP($D6,SpecData,2,FALSE)</f>
        <v>1</v>
      </c>
      <c r="J6" s="180">
        <f t="shared" ref="J6:J12" si="2">VLOOKUP($F6,AvailabilityData,2,FALSE)</f>
        <v>0</v>
      </c>
      <c r="K6" s="220">
        <f t="shared" ref="K6:K12" si="3">I6*J6</f>
        <v>0</v>
      </c>
      <c r="L6" s="38"/>
    </row>
    <row r="7" spans="2:12" ht="30" customHeight="1" x14ac:dyDescent="0.3">
      <c r="B7" s="37" t="str">
        <f t="shared" si="0"/>
        <v>IFRMS</v>
      </c>
      <c r="C7" s="2">
        <f>IF(ISTEXT(D7),MAX($C$6:$C6)+1,"")</f>
        <v>4</v>
      </c>
      <c r="D7" s="159" t="s">
        <v>11</v>
      </c>
      <c r="E7" s="329" t="s">
        <v>721</v>
      </c>
      <c r="F7" s="176" t="s">
        <v>43</v>
      </c>
      <c r="G7" s="177" t="s">
        <v>64</v>
      </c>
      <c r="H7" s="184">
        <f>COUNTIF(F4:F501,"Exception")</f>
        <v>0</v>
      </c>
      <c r="I7" s="179">
        <f t="shared" si="1"/>
        <v>1</v>
      </c>
      <c r="J7" s="180">
        <f t="shared" si="2"/>
        <v>0</v>
      </c>
      <c r="K7" s="181">
        <f t="shared" si="3"/>
        <v>0</v>
      </c>
      <c r="L7" s="38"/>
    </row>
    <row r="8" spans="2:12" ht="30" customHeight="1" x14ac:dyDescent="0.3">
      <c r="B8" s="37" t="str">
        <f t="shared" si="0"/>
        <v>IFRMS</v>
      </c>
      <c r="C8" s="2">
        <f>IF(ISTEXT(D8),MAX($C$6:$C7)+1,"")</f>
        <v>5</v>
      </c>
      <c r="D8" s="159" t="s">
        <v>11</v>
      </c>
      <c r="E8" s="330" t="s">
        <v>722</v>
      </c>
      <c r="F8" s="176" t="s">
        <v>43</v>
      </c>
      <c r="G8" s="177" t="s">
        <v>66</v>
      </c>
      <c r="H8" s="185">
        <f>COUNTIFS(D:D,"=Crucial",F:F,"=Select From Drop Down")</f>
        <v>12</v>
      </c>
      <c r="I8" s="179">
        <f t="shared" si="1"/>
        <v>1</v>
      </c>
      <c r="J8" s="180">
        <f t="shared" si="2"/>
        <v>0</v>
      </c>
      <c r="K8" s="220">
        <f t="shared" si="3"/>
        <v>0</v>
      </c>
      <c r="L8" s="38"/>
    </row>
    <row r="9" spans="2:12" ht="30" customHeight="1" x14ac:dyDescent="0.3">
      <c r="B9" s="37" t="str">
        <f t="shared" si="0"/>
        <v>IFRMS</v>
      </c>
      <c r="C9" s="2">
        <f>IF(ISTEXT(D9),MAX($C$6:$C8)+1,"")</f>
        <v>6</v>
      </c>
      <c r="D9" s="159" t="s">
        <v>11</v>
      </c>
      <c r="E9" s="162" t="s">
        <v>723</v>
      </c>
      <c r="F9" s="176" t="s">
        <v>43</v>
      </c>
      <c r="G9" s="177" t="s">
        <v>68</v>
      </c>
      <c r="H9" s="185">
        <f>COUNTIFS(D:D,"=Crucial",F:F,"=Function Available")</f>
        <v>0</v>
      </c>
      <c r="I9" s="179">
        <f t="shared" si="1"/>
        <v>1</v>
      </c>
      <c r="J9" s="180">
        <f t="shared" si="2"/>
        <v>0</v>
      </c>
      <c r="K9" s="220">
        <f t="shared" si="3"/>
        <v>0</v>
      </c>
      <c r="L9" s="38"/>
    </row>
    <row r="10" spans="2:12" ht="30" customHeight="1" x14ac:dyDescent="0.3">
      <c r="B10" s="37" t="str">
        <f t="shared" si="0"/>
        <v>IFRMS</v>
      </c>
      <c r="C10" s="2">
        <f>IF(ISTEXT(D10),MAX($C$6:$C9)+1,"")</f>
        <v>7</v>
      </c>
      <c r="D10" s="159" t="s">
        <v>11</v>
      </c>
      <c r="E10" s="162" t="s">
        <v>724</v>
      </c>
      <c r="F10" s="176" t="s">
        <v>43</v>
      </c>
      <c r="G10" s="177" t="s">
        <v>70</v>
      </c>
      <c r="H10" s="185">
        <f>COUNTIFS(D:D,"=Crucial",F:F,"=Function Not Available")</f>
        <v>0</v>
      </c>
      <c r="I10" s="179">
        <f t="shared" si="1"/>
        <v>1</v>
      </c>
      <c r="J10" s="180">
        <f t="shared" si="2"/>
        <v>0</v>
      </c>
      <c r="K10" s="220">
        <f t="shared" si="3"/>
        <v>0</v>
      </c>
      <c r="L10" s="38"/>
    </row>
    <row r="11" spans="2:12" ht="30" customHeight="1" x14ac:dyDescent="0.3">
      <c r="B11" s="37" t="str">
        <f t="shared" si="0"/>
        <v>IFRMS</v>
      </c>
      <c r="C11" s="2">
        <f>IF(ISTEXT(D11),MAX($C$6:$C10)+1,"")</f>
        <v>8</v>
      </c>
      <c r="D11" s="159" t="s">
        <v>11</v>
      </c>
      <c r="E11" s="162" t="s">
        <v>725</v>
      </c>
      <c r="F11" s="176" t="s">
        <v>43</v>
      </c>
      <c r="G11" s="192" t="s">
        <v>72</v>
      </c>
      <c r="H11" s="221">
        <f>COUNTIFS(D:D,"=Crucial",F:F,"=Exception")</f>
        <v>0</v>
      </c>
      <c r="I11" s="179">
        <f t="shared" si="1"/>
        <v>1</v>
      </c>
      <c r="J11" s="180">
        <f t="shared" si="2"/>
        <v>0</v>
      </c>
      <c r="K11" s="224">
        <f t="shared" si="3"/>
        <v>0</v>
      </c>
      <c r="L11" s="41"/>
    </row>
    <row r="12" spans="2:12" ht="30" customHeight="1" x14ac:dyDescent="0.3">
      <c r="B12" s="37" t="str">
        <f t="shared" si="0"/>
        <v>IFRMS</v>
      </c>
      <c r="C12" s="2">
        <f>IF(ISTEXT(D12),MAX($C$6:$C11)+1,"")</f>
        <v>9</v>
      </c>
      <c r="D12" s="159" t="s">
        <v>9</v>
      </c>
      <c r="E12" s="162" t="s">
        <v>726</v>
      </c>
      <c r="F12" s="176" t="s">
        <v>43</v>
      </c>
      <c r="G12" s="177" t="s">
        <v>74</v>
      </c>
      <c r="H12" s="185">
        <f>COUNTIFS(D:D,"=Important",F:F,"=Select From Drop Down")</f>
        <v>1</v>
      </c>
      <c r="I12" s="179">
        <f t="shared" si="1"/>
        <v>3</v>
      </c>
      <c r="J12" s="180">
        <f t="shared" si="2"/>
        <v>0</v>
      </c>
      <c r="K12" s="220">
        <f t="shared" si="3"/>
        <v>0</v>
      </c>
      <c r="L12" s="41"/>
    </row>
    <row r="13" spans="2:12" ht="30" customHeight="1" x14ac:dyDescent="0.3">
      <c r="B13" s="37" t="str">
        <f t="shared" si="0"/>
        <v>IFRMS</v>
      </c>
      <c r="C13" s="2">
        <f>IF(ISTEXT(D13),MAX($C$6:$C12)+1,"")</f>
        <v>10</v>
      </c>
      <c r="D13" s="159" t="s">
        <v>9</v>
      </c>
      <c r="E13" s="162" t="s">
        <v>1244</v>
      </c>
      <c r="F13" s="176" t="s">
        <v>43</v>
      </c>
      <c r="G13" s="192" t="s">
        <v>76</v>
      </c>
      <c r="H13" s="221">
        <f>COUNTIFS(D:D,"=Important",F:F,"=Function Available")</f>
        <v>0</v>
      </c>
      <c r="I13" s="222">
        <f t="shared" ref="I13:I25" si="4">VLOOKUP($D13,SpecData,2,FALSE)</f>
        <v>3</v>
      </c>
      <c r="J13" s="223">
        <f t="shared" ref="J13:J25" si="5">VLOOKUP($F13,AvailabilityData,2,FALSE)</f>
        <v>0</v>
      </c>
      <c r="K13" s="224">
        <f t="shared" ref="K13:K25" si="6">I13*J13</f>
        <v>0</v>
      </c>
      <c r="L13" s="44"/>
    </row>
    <row r="14" spans="2:12" ht="30" customHeight="1" x14ac:dyDescent="0.3">
      <c r="B14" s="37" t="str">
        <f t="shared" si="0"/>
        <v>IFRMS</v>
      </c>
      <c r="C14" s="2">
        <f>IF(ISTEXT(D14),MAX($C$6:$C13)+1,"")</f>
        <v>11</v>
      </c>
      <c r="D14" s="159" t="s">
        <v>1243</v>
      </c>
      <c r="E14" s="162" t="s">
        <v>1245</v>
      </c>
      <c r="F14" s="176" t="s">
        <v>43</v>
      </c>
      <c r="G14" s="177" t="s">
        <v>78</v>
      </c>
      <c r="H14" s="185">
        <f>COUNTIFS(D:D,"=Important",F:F,"=Function Not Available")</f>
        <v>0</v>
      </c>
      <c r="I14" s="188">
        <f t="shared" si="4"/>
        <v>2</v>
      </c>
      <c r="J14" s="189">
        <f t="shared" si="5"/>
        <v>0</v>
      </c>
      <c r="K14" s="220">
        <f t="shared" si="6"/>
        <v>0</v>
      </c>
      <c r="L14" s="38"/>
    </row>
    <row r="15" spans="2:12" ht="30" customHeight="1" x14ac:dyDescent="0.3">
      <c r="B15" s="37" t="str">
        <f t="shared" si="0"/>
        <v>IFRMS</v>
      </c>
      <c r="C15" s="2">
        <f>IF(ISTEXT(D15),MAX($C$6:$C14)+1,"")</f>
        <v>12</v>
      </c>
      <c r="D15" s="159" t="s">
        <v>9</v>
      </c>
      <c r="E15" s="162" t="s">
        <v>1246</v>
      </c>
      <c r="F15" s="176" t="s">
        <v>43</v>
      </c>
      <c r="G15" s="177" t="s">
        <v>80</v>
      </c>
      <c r="H15" s="185">
        <f>COUNTIFS(D:D,"=Important",F:F,"=Exception")</f>
        <v>0</v>
      </c>
      <c r="I15" s="188">
        <f t="shared" si="4"/>
        <v>3</v>
      </c>
      <c r="J15" s="189">
        <f t="shared" si="5"/>
        <v>0</v>
      </c>
      <c r="K15" s="220">
        <f t="shared" si="6"/>
        <v>0</v>
      </c>
      <c r="L15" s="38"/>
    </row>
    <row r="16" spans="2:12" ht="30" customHeight="1" x14ac:dyDescent="0.3">
      <c r="B16" s="37" t="str">
        <f t="shared" si="0"/>
        <v>IFRMS</v>
      </c>
      <c r="C16" s="2">
        <f>IF(ISTEXT(D16),MAX($C$6:$C15)+1,"")</f>
        <v>13</v>
      </c>
      <c r="D16" s="159" t="s">
        <v>9</v>
      </c>
      <c r="E16" s="162" t="s">
        <v>1247</v>
      </c>
      <c r="F16" s="176" t="s">
        <v>43</v>
      </c>
      <c r="G16" s="177" t="s">
        <v>82</v>
      </c>
      <c r="H16" s="185">
        <f>COUNTIFS(D:D,"=Minimal",F:F,"=Select From Drop Down")</f>
        <v>8</v>
      </c>
      <c r="I16" s="188">
        <f t="shared" si="4"/>
        <v>3</v>
      </c>
      <c r="J16" s="189">
        <f t="shared" si="5"/>
        <v>0</v>
      </c>
      <c r="K16" s="220">
        <f t="shared" si="6"/>
        <v>0</v>
      </c>
      <c r="L16" s="38"/>
    </row>
    <row r="17" spans="2:12" ht="30" customHeight="1" x14ac:dyDescent="0.3">
      <c r="B17" s="40" t="str">
        <f t="shared" si="0"/>
        <v/>
      </c>
      <c r="C17" s="1" t="str">
        <f>IF(ISTEXT(D17),MAX($C$6:$C16)+1,"")</f>
        <v/>
      </c>
      <c r="D17" s="3"/>
      <c r="E17" s="226" t="s">
        <v>1248</v>
      </c>
      <c r="F17" s="115"/>
      <c r="G17" s="31"/>
      <c r="H17" s="31"/>
      <c r="I17" s="31"/>
      <c r="J17" s="31"/>
      <c r="K17" s="31"/>
      <c r="L17" s="31"/>
    </row>
    <row r="18" spans="2:12" ht="30" customHeight="1" x14ac:dyDescent="0.3">
      <c r="B18" s="37" t="str">
        <f t="shared" si="0"/>
        <v>IFRMS</v>
      </c>
      <c r="C18" s="2">
        <f>IF(ISTEXT(D18),MAX($C$6:$C16)+1,"")</f>
        <v>14</v>
      </c>
      <c r="D18" s="159" t="s">
        <v>9</v>
      </c>
      <c r="E18" s="331" t="s">
        <v>199</v>
      </c>
      <c r="F18" s="176" t="s">
        <v>43</v>
      </c>
      <c r="G18" s="177" t="s">
        <v>84</v>
      </c>
      <c r="H18" s="185">
        <f>COUNTIFS(D:D,"=Minimal",F:F,"=Function Available")</f>
        <v>0</v>
      </c>
      <c r="I18" s="188">
        <f t="shared" si="4"/>
        <v>3</v>
      </c>
      <c r="J18" s="189">
        <f t="shared" si="5"/>
        <v>0</v>
      </c>
      <c r="K18" s="220">
        <f t="shared" si="6"/>
        <v>0</v>
      </c>
      <c r="L18" s="38"/>
    </row>
    <row r="19" spans="2:12" ht="30" customHeight="1" x14ac:dyDescent="0.3">
      <c r="B19" s="37" t="str">
        <f t="shared" si="0"/>
        <v>IFRMS</v>
      </c>
      <c r="C19" s="2">
        <f>IF(ISTEXT(D19),MAX($C$6:$C18)+1,"")</f>
        <v>15</v>
      </c>
      <c r="D19" s="159" t="s">
        <v>9</v>
      </c>
      <c r="E19" s="249" t="s">
        <v>447</v>
      </c>
      <c r="F19" s="176" t="s">
        <v>43</v>
      </c>
      <c r="G19" s="177" t="s">
        <v>86</v>
      </c>
      <c r="H19" s="185">
        <f>COUNTIFS(D:D,"=Minimal",F:F,"=Function Not Available")</f>
        <v>0</v>
      </c>
      <c r="I19" s="188">
        <f t="shared" si="4"/>
        <v>3</v>
      </c>
      <c r="J19" s="189">
        <f t="shared" si="5"/>
        <v>0</v>
      </c>
      <c r="K19" s="220">
        <f t="shared" si="6"/>
        <v>0</v>
      </c>
      <c r="L19" s="38"/>
    </row>
    <row r="20" spans="2:12" ht="30" customHeight="1" x14ac:dyDescent="0.3">
      <c r="B20" s="37" t="str">
        <f t="shared" si="0"/>
        <v>IFRMS</v>
      </c>
      <c r="C20" s="2">
        <f>IF(ISTEXT(D20),MAX($C$6:$C19)+1,"")</f>
        <v>16</v>
      </c>
      <c r="D20" s="159" t="s">
        <v>9</v>
      </c>
      <c r="E20" s="249" t="s">
        <v>448</v>
      </c>
      <c r="F20" s="176" t="s">
        <v>43</v>
      </c>
      <c r="G20" s="177" t="s">
        <v>88</v>
      </c>
      <c r="H20" s="185">
        <f>COUNTIFS(D:D,"=Minimal",F:F,"=Exception")</f>
        <v>0</v>
      </c>
      <c r="I20" s="188">
        <f t="shared" si="4"/>
        <v>3</v>
      </c>
      <c r="J20" s="189">
        <f t="shared" si="5"/>
        <v>0</v>
      </c>
      <c r="K20" s="220">
        <f t="shared" si="6"/>
        <v>0</v>
      </c>
      <c r="L20" s="38"/>
    </row>
    <row r="21" spans="2:12" ht="30" customHeight="1" x14ac:dyDescent="0.3">
      <c r="B21" s="37" t="str">
        <f t="shared" si="0"/>
        <v>IFRMS</v>
      </c>
      <c r="C21" s="2">
        <f>IF(ISTEXT(D21),MAX($C$6:$C20)+1,"")</f>
        <v>17</v>
      </c>
      <c r="D21" s="159" t="s">
        <v>9</v>
      </c>
      <c r="E21" s="249" t="s">
        <v>727</v>
      </c>
      <c r="F21" s="176" t="s">
        <v>43</v>
      </c>
      <c r="G21" s="177"/>
      <c r="H21" s="184"/>
      <c r="I21" s="188">
        <f t="shared" si="4"/>
        <v>3</v>
      </c>
      <c r="J21" s="189">
        <f t="shared" si="5"/>
        <v>0</v>
      </c>
      <c r="K21" s="220">
        <f t="shared" si="6"/>
        <v>0</v>
      </c>
      <c r="L21" s="38"/>
    </row>
    <row r="22" spans="2:12" ht="30" customHeight="1" x14ac:dyDescent="0.3">
      <c r="B22" s="37" t="str">
        <f t="shared" si="0"/>
        <v>IFRMS</v>
      </c>
      <c r="C22" s="2">
        <f>IF(ISTEXT(D22),MAX($C$6:$C21)+1,"")</f>
        <v>18</v>
      </c>
      <c r="D22" s="159" t="s">
        <v>9</v>
      </c>
      <c r="E22" s="249" t="s">
        <v>728</v>
      </c>
      <c r="F22" s="176" t="s">
        <v>43</v>
      </c>
      <c r="G22" s="177"/>
      <c r="H22" s="184"/>
      <c r="I22" s="188">
        <f t="shared" si="4"/>
        <v>3</v>
      </c>
      <c r="J22" s="189">
        <f t="shared" si="5"/>
        <v>0</v>
      </c>
      <c r="K22" s="220">
        <f t="shared" si="6"/>
        <v>0</v>
      </c>
      <c r="L22" s="38"/>
    </row>
    <row r="23" spans="2:12" ht="30" customHeight="1" x14ac:dyDescent="0.3">
      <c r="B23" s="37" t="str">
        <f t="shared" si="0"/>
        <v>IFRMS</v>
      </c>
      <c r="C23" s="2">
        <f>IF(ISTEXT(D23),MAX($C$6:$C22)+1,"")</f>
        <v>19</v>
      </c>
      <c r="D23" s="159" t="s">
        <v>9</v>
      </c>
      <c r="E23" s="249" t="s">
        <v>451</v>
      </c>
      <c r="F23" s="176" t="s">
        <v>43</v>
      </c>
      <c r="G23" s="177"/>
      <c r="H23" s="184"/>
      <c r="I23" s="188">
        <f t="shared" si="4"/>
        <v>3</v>
      </c>
      <c r="J23" s="189">
        <f t="shared" si="5"/>
        <v>0</v>
      </c>
      <c r="K23" s="220">
        <f t="shared" si="6"/>
        <v>0</v>
      </c>
      <c r="L23" s="38"/>
    </row>
    <row r="24" spans="2:12" ht="30" customHeight="1" x14ac:dyDescent="0.3">
      <c r="B24" s="37" t="str">
        <f t="shared" si="0"/>
        <v>IFRMS</v>
      </c>
      <c r="C24" s="2">
        <f>IF(ISTEXT(D24),MAX($C$6:$C23)+1,"")</f>
        <v>20</v>
      </c>
      <c r="D24" s="159" t="s">
        <v>9</v>
      </c>
      <c r="E24" s="160" t="s">
        <v>729</v>
      </c>
      <c r="F24" s="176" t="s">
        <v>43</v>
      </c>
      <c r="G24" s="177"/>
      <c r="H24" s="184"/>
      <c r="I24" s="188">
        <f t="shared" si="4"/>
        <v>3</v>
      </c>
      <c r="J24" s="189">
        <f t="shared" si="5"/>
        <v>0</v>
      </c>
      <c r="K24" s="220">
        <f t="shared" si="6"/>
        <v>0</v>
      </c>
      <c r="L24" s="38"/>
    </row>
    <row r="25" spans="2:12" ht="30" customHeight="1" x14ac:dyDescent="0.3">
      <c r="B25" s="164" t="str">
        <f t="shared" si="0"/>
        <v>IFRMS</v>
      </c>
      <c r="C25" s="165">
        <f>IF(ISTEXT(D25),MAX($C$6:$C24)+1,"")</f>
        <v>21</v>
      </c>
      <c r="D25" s="159" t="s">
        <v>9</v>
      </c>
      <c r="E25" s="160" t="s">
        <v>453</v>
      </c>
      <c r="F25" s="176" t="s">
        <v>43</v>
      </c>
      <c r="G25" s="192"/>
      <c r="H25" s="193"/>
      <c r="I25" s="190">
        <f t="shared" si="4"/>
        <v>3</v>
      </c>
      <c r="J25" s="191">
        <f t="shared" si="5"/>
        <v>0</v>
      </c>
      <c r="K25" s="224">
        <f t="shared" si="6"/>
        <v>0</v>
      </c>
      <c r="L25" s="39"/>
    </row>
    <row r="26" spans="2:12" ht="8.25" customHeight="1" x14ac:dyDescent="0.3"/>
  </sheetData>
  <sheetProtection algorithmName="SHA-512" hashValue="fsyzS8SAG2pkYs+ndpmz9iE26ExpX3npQT4STufrNDmN/O8v9LObjPe1hJjBkXJ85gScK5zDVscAqNrNjl2fCQ==" saltValue="BqyC2nnTUOuL6jLvohDOjg==" spinCount="100000" sheet="1" selectLockedCells="1"/>
  <conditionalFormatting sqref="D4:D16">
    <cfRule type="cellIs" dxfId="146" priority="13" operator="equal">
      <formula>"Important"</formula>
    </cfRule>
    <cfRule type="cellIs" dxfId="145" priority="14" operator="equal">
      <formula>"Crucial"</formula>
    </cfRule>
    <cfRule type="cellIs" dxfId="144" priority="15" operator="equal">
      <formula>"N/A"</formula>
    </cfRule>
  </conditionalFormatting>
  <conditionalFormatting sqref="D18:D25">
    <cfRule type="cellIs" dxfId="143" priority="10" operator="equal">
      <formula>"Important"</formula>
    </cfRule>
    <cfRule type="cellIs" dxfId="142" priority="11" operator="equal">
      <formula>"Crucial"</formula>
    </cfRule>
    <cfRule type="cellIs" dxfId="141" priority="12" operator="equal">
      <formula>"N/A"</formula>
    </cfRule>
  </conditionalFormatting>
  <conditionalFormatting sqref="F4:F25">
    <cfRule type="cellIs" dxfId="140" priority="1" operator="equal">
      <formula>"Function Not Available"</formula>
    </cfRule>
    <cfRule type="cellIs" dxfId="139" priority="2" operator="equal">
      <formula>"Function Available"</formula>
    </cfRule>
    <cfRule type="cellIs" dxfId="138" priority="3" operator="equal">
      <formula>"Exception"</formula>
    </cfRule>
  </conditionalFormatting>
  <dataValidations count="4">
    <dataValidation type="list" allowBlank="1" showInputMessage="1" showErrorMessage="1" sqref="F4:F5" xr:uid="{00000000-0002-0000-1300-000000000000}">
      <formula1>AvailabilityType</formula1>
    </dataValidation>
    <dataValidation type="list" allowBlank="1" showInputMessage="1" showErrorMessage="1" sqref="D4:D13 D18:D25" xr:uid="{00000000-0002-0000-1300-000001000000}">
      <formula1>SpecType</formula1>
    </dataValidation>
    <dataValidation type="list" allowBlank="1" showInputMessage="1" showErrorMessage="1" errorTitle="Invalid specification type" error="Please enter a Specification type from the drop-down list." sqref="D14:D16" xr:uid="{00000000-0002-0000-1300-000002000000}">
      <formula1>SpecType</formula1>
    </dataValidation>
    <dataValidation type="list" allowBlank="1" showInputMessage="1" showErrorMessage="1" errorTitle="Invalid specification type" error="Please enter a Specification type from the drop-down list." sqref="F6:F16 F18:F25" xr:uid="{00000000-0002-0000-1300-000003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A1:M20"/>
  <sheetViews>
    <sheetView showGridLines="0" topLeftCell="A2" zoomScale="80" zoomScaleNormal="8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4.95" customHeight="1" thickBot="1" x14ac:dyDescent="0.35"/>
    <row r="2" spans="2:12" ht="129" customHeight="1" thickBot="1" x14ac:dyDescent="0.35">
      <c r="B2" s="102" t="s">
        <v>44</v>
      </c>
      <c r="C2" s="102" t="s">
        <v>45</v>
      </c>
      <c r="D2" s="102" t="s">
        <v>46</v>
      </c>
      <c r="E2" s="102" t="s">
        <v>730</v>
      </c>
      <c r="F2" s="102" t="s">
        <v>42</v>
      </c>
      <c r="G2" s="103" t="s">
        <v>48</v>
      </c>
      <c r="H2" s="103" t="s">
        <v>49</v>
      </c>
      <c r="I2" s="104" t="s">
        <v>50</v>
      </c>
      <c r="J2" s="104" t="s">
        <v>51</v>
      </c>
      <c r="K2" s="105" t="s">
        <v>14</v>
      </c>
      <c r="L2" s="106" t="s">
        <v>52</v>
      </c>
    </row>
    <row r="3" spans="2:12" ht="16.2" thickBot="1" x14ac:dyDescent="0.35">
      <c r="B3" s="45" t="s">
        <v>731</v>
      </c>
      <c r="C3" s="8"/>
      <c r="D3" s="8"/>
      <c r="E3" s="8"/>
      <c r="F3" s="8"/>
      <c r="G3" s="34" t="s">
        <v>54</v>
      </c>
      <c r="H3" s="7">
        <f>COUNTA(D4:D478)</f>
        <v>7</v>
      </c>
      <c r="I3" s="24"/>
      <c r="J3" s="25" t="s">
        <v>55</v>
      </c>
      <c r="K3" s="26">
        <f t="shared" ref="K3" si="0">SUM(K4:K478)</f>
        <v>0</v>
      </c>
      <c r="L3" s="46"/>
    </row>
    <row r="4" spans="2:12" ht="41.4" x14ac:dyDescent="0.3">
      <c r="B4" s="48" t="s">
        <v>732</v>
      </c>
      <c r="C4" s="2">
        <v>1</v>
      </c>
      <c r="D4" s="159" t="s">
        <v>9</v>
      </c>
      <c r="E4" s="60" t="s">
        <v>733</v>
      </c>
      <c r="F4" s="176" t="s">
        <v>43</v>
      </c>
      <c r="G4" s="177" t="s">
        <v>58</v>
      </c>
      <c r="H4" s="178">
        <f>COUNTIF(F4:F478,"Select from Drop Down")</f>
        <v>7</v>
      </c>
      <c r="I4" s="179">
        <f>VLOOKUP($D4,SpecData,2,FALSE)</f>
        <v>3</v>
      </c>
      <c r="J4" s="180">
        <f>VLOOKUP($F4,AvailabilityData,2,FALSE)</f>
        <v>0</v>
      </c>
      <c r="K4" s="181">
        <f>I4*J4</f>
        <v>0</v>
      </c>
      <c r="L4" s="47"/>
    </row>
    <row r="5" spans="2:12" ht="41.4" x14ac:dyDescent="0.3">
      <c r="B5" s="48" t="str">
        <f>IF(C5="","",$B$4)</f>
        <v>IForm</v>
      </c>
      <c r="C5" s="2">
        <f>IF(ISTEXT(D5),MAX($C$4:$C4)+1,"")</f>
        <v>2</v>
      </c>
      <c r="D5" s="159" t="s">
        <v>9</v>
      </c>
      <c r="E5" s="60" t="s">
        <v>734</v>
      </c>
      <c r="F5" s="176" t="s">
        <v>43</v>
      </c>
      <c r="G5" s="177" t="s">
        <v>60</v>
      </c>
      <c r="H5" s="178">
        <f>COUNTIF(F4:F478,"Function Available")</f>
        <v>0</v>
      </c>
      <c r="I5" s="179">
        <f>VLOOKUP($D5,SpecData,2,FALSE)</f>
        <v>3</v>
      </c>
      <c r="J5" s="180">
        <f>VLOOKUP($F5,AvailabilityData,2,FALSE)</f>
        <v>0</v>
      </c>
      <c r="K5" s="181">
        <f t="shared" ref="K5:K10" si="1">I5*J5</f>
        <v>0</v>
      </c>
      <c r="L5" s="47"/>
    </row>
    <row r="6" spans="2:12" ht="30" customHeight="1" x14ac:dyDescent="0.3">
      <c r="B6" s="48" t="str">
        <f>IF(C6="","",$B$4)</f>
        <v>IForm</v>
      </c>
      <c r="C6" s="2">
        <f>IF(ISTEXT(D6),MAX($C$4:$C5)+1,"")</f>
        <v>3</v>
      </c>
      <c r="D6" s="159" t="s">
        <v>9</v>
      </c>
      <c r="E6" s="60" t="s">
        <v>735</v>
      </c>
      <c r="F6" s="176" t="s">
        <v>43</v>
      </c>
      <c r="G6" s="177" t="s">
        <v>62</v>
      </c>
      <c r="H6" s="184">
        <f>COUNTIF(F4:F478,"Function Not Available")</f>
        <v>0</v>
      </c>
      <c r="I6" s="179">
        <f t="shared" ref="I6:I10" si="2">VLOOKUP($D6,SpecData,2,FALSE)</f>
        <v>3</v>
      </c>
      <c r="J6" s="180">
        <f t="shared" ref="J6:J10" si="3">VLOOKUP($F6,AvailabilityData,2,FALSE)</f>
        <v>0</v>
      </c>
      <c r="K6" s="181">
        <f t="shared" si="1"/>
        <v>0</v>
      </c>
      <c r="L6" s="47"/>
    </row>
    <row r="7" spans="2:12" ht="30" customHeight="1" x14ac:dyDescent="0.3">
      <c r="B7" s="48" t="str">
        <f t="shared" ref="B7:B10" si="4">IF(C7="","",$B$4)</f>
        <v>IForm</v>
      </c>
      <c r="C7" s="2">
        <f>IF(ISTEXT(D7),MAX($C$4:$C6)+1,"")</f>
        <v>4</v>
      </c>
      <c r="D7" s="159" t="s">
        <v>9</v>
      </c>
      <c r="E7" s="60" t="s">
        <v>736</v>
      </c>
      <c r="F7" s="176" t="s">
        <v>43</v>
      </c>
      <c r="G7" s="177" t="s">
        <v>64</v>
      </c>
      <c r="H7" s="184">
        <f>COUNTIF(F4:F478,"Exception")</f>
        <v>0</v>
      </c>
      <c r="I7" s="179">
        <f t="shared" si="2"/>
        <v>3</v>
      </c>
      <c r="J7" s="180">
        <f t="shared" si="3"/>
        <v>0</v>
      </c>
      <c r="K7" s="181">
        <f t="shared" si="1"/>
        <v>0</v>
      </c>
      <c r="L7" s="47"/>
    </row>
    <row r="8" spans="2:12" ht="30" customHeight="1" x14ac:dyDescent="0.3">
      <c r="B8" s="48" t="str">
        <f t="shared" si="4"/>
        <v>IForm</v>
      </c>
      <c r="C8" s="2">
        <f>IF(ISTEXT(D8),MAX($C$4:$C7)+1,"")</f>
        <v>5</v>
      </c>
      <c r="D8" s="159" t="s">
        <v>9</v>
      </c>
      <c r="E8" s="332" t="s">
        <v>737</v>
      </c>
      <c r="F8" s="176" t="s">
        <v>43</v>
      </c>
      <c r="G8" s="177" t="s">
        <v>66</v>
      </c>
      <c r="H8" s="185">
        <f>COUNTIFS(D:D,"=Crucial",F:F,"=Select From Drop Down")</f>
        <v>7</v>
      </c>
      <c r="I8" s="179">
        <f t="shared" si="2"/>
        <v>3</v>
      </c>
      <c r="J8" s="180">
        <f t="shared" si="3"/>
        <v>0</v>
      </c>
      <c r="K8" s="181">
        <f t="shared" si="1"/>
        <v>0</v>
      </c>
      <c r="L8" s="47"/>
    </row>
    <row r="9" spans="2:12" ht="30" customHeight="1" x14ac:dyDescent="0.3">
      <c r="B9" s="48" t="str">
        <f t="shared" si="4"/>
        <v>IForm</v>
      </c>
      <c r="C9" s="2">
        <f>IF(ISTEXT(D9),MAX($C$4:$C8)+1,"")</f>
        <v>6</v>
      </c>
      <c r="D9" s="159" t="s">
        <v>9</v>
      </c>
      <c r="E9" s="55" t="s">
        <v>738</v>
      </c>
      <c r="F9" s="176" t="s">
        <v>43</v>
      </c>
      <c r="G9" s="177" t="s">
        <v>68</v>
      </c>
      <c r="H9" s="185">
        <f>COUNTIFS(D:D,"=Crucial",F:F,"=Function Available")</f>
        <v>0</v>
      </c>
      <c r="I9" s="179">
        <f t="shared" si="2"/>
        <v>3</v>
      </c>
      <c r="J9" s="180">
        <f t="shared" si="3"/>
        <v>0</v>
      </c>
      <c r="K9" s="181">
        <f t="shared" si="1"/>
        <v>0</v>
      </c>
      <c r="L9" s="47"/>
    </row>
    <row r="10" spans="2:12" ht="30" customHeight="1" thickBot="1" x14ac:dyDescent="0.35">
      <c r="B10" s="52" t="str">
        <f t="shared" si="4"/>
        <v>IForm</v>
      </c>
      <c r="C10" s="53">
        <f>IF(ISTEXT(D10),MAX($C$4:$C9)+1,"")</f>
        <v>7</v>
      </c>
      <c r="D10" s="168" t="s">
        <v>9</v>
      </c>
      <c r="E10" s="169" t="s">
        <v>739</v>
      </c>
      <c r="F10" s="243" t="s">
        <v>43</v>
      </c>
      <c r="G10" s="201" t="s">
        <v>70</v>
      </c>
      <c r="H10" s="202">
        <f>COUNTIFS(D:D,"=Crucial",F:F,"=Function Not Available")</f>
        <v>0</v>
      </c>
      <c r="I10" s="197">
        <f t="shared" si="2"/>
        <v>3</v>
      </c>
      <c r="J10" s="198">
        <f t="shared" si="3"/>
        <v>0</v>
      </c>
      <c r="K10" s="199">
        <f t="shared" si="1"/>
        <v>0</v>
      </c>
      <c r="L10" s="54"/>
    </row>
    <row r="11" spans="2:12" ht="30" hidden="1" customHeight="1" x14ac:dyDescent="0.3">
      <c r="B11" s="61"/>
      <c r="C11" s="61"/>
      <c r="D11" s="171"/>
      <c r="E11" s="79"/>
      <c r="F11" s="121"/>
      <c r="G11" s="34" t="s">
        <v>72</v>
      </c>
      <c r="H11" s="122">
        <f>COUNTIFS(D:D,"=Crucial",F:F,"=Exception")</f>
        <v>0</v>
      </c>
      <c r="I11" s="123"/>
      <c r="J11" s="124"/>
      <c r="K11" s="123"/>
      <c r="L11" s="173"/>
    </row>
    <row r="12" spans="2:12" ht="30" hidden="1" customHeight="1" x14ac:dyDescent="0.3">
      <c r="B12" s="73"/>
      <c r="C12" s="73"/>
      <c r="D12" s="240"/>
      <c r="E12" s="62"/>
      <c r="F12" s="125"/>
      <c r="G12" s="34" t="s">
        <v>74</v>
      </c>
      <c r="H12" s="122">
        <f>COUNTIFS(D:D,"=Important",F:F,"=Select From Drop Down")</f>
        <v>0</v>
      </c>
      <c r="I12" s="127"/>
      <c r="J12" s="128"/>
      <c r="K12" s="127"/>
      <c r="L12" s="161"/>
    </row>
    <row r="13" spans="2:12" ht="30" hidden="1" customHeight="1" x14ac:dyDescent="0.3">
      <c r="B13" s="73"/>
      <c r="C13" s="73"/>
      <c r="D13" s="240"/>
      <c r="E13" s="62"/>
      <c r="F13" s="125"/>
      <c r="G13" s="34" t="s">
        <v>76</v>
      </c>
      <c r="H13" s="122">
        <f>COUNTIFS(D:D,"=Important",F:F,"=Function Available")</f>
        <v>0</v>
      </c>
      <c r="I13" s="127"/>
      <c r="J13" s="128"/>
      <c r="K13" s="127"/>
      <c r="L13" s="161"/>
    </row>
    <row r="14" spans="2:12" ht="30" hidden="1" customHeight="1" x14ac:dyDescent="0.3">
      <c r="B14" s="73"/>
      <c r="C14" s="73"/>
      <c r="D14" s="240"/>
      <c r="E14" s="62"/>
      <c r="F14" s="125"/>
      <c r="G14" s="29" t="s">
        <v>78</v>
      </c>
      <c r="H14" s="126">
        <f>COUNTIFS(D:D,"=Important",F:F,"=Function Not Available")</f>
        <v>0</v>
      </c>
      <c r="I14" s="127"/>
      <c r="J14" s="128"/>
      <c r="K14" s="127"/>
      <c r="L14" s="161"/>
    </row>
    <row r="15" spans="2:12" ht="30" hidden="1" customHeight="1" x14ac:dyDescent="0.3">
      <c r="B15" s="73"/>
      <c r="C15" s="73"/>
      <c r="D15" s="240"/>
      <c r="E15" s="62"/>
      <c r="F15" s="125"/>
      <c r="G15" s="29" t="s">
        <v>80</v>
      </c>
      <c r="H15" s="126">
        <f>COUNTIFS(D:D,"=Important",F:F,"=Exception")</f>
        <v>0</v>
      </c>
      <c r="I15" s="127"/>
      <c r="J15" s="128"/>
      <c r="K15" s="127"/>
      <c r="L15" s="161"/>
    </row>
    <row r="16" spans="2:12" ht="30" hidden="1" customHeight="1" x14ac:dyDescent="0.3">
      <c r="B16" s="73"/>
      <c r="C16" s="73"/>
      <c r="D16" s="240"/>
      <c r="E16" s="62"/>
      <c r="F16" s="125"/>
      <c r="G16" s="29" t="s">
        <v>82</v>
      </c>
      <c r="H16" s="126">
        <f>COUNTIFS(D:D,"=Minimal",F:F,"=Select From Drop Down")</f>
        <v>0</v>
      </c>
      <c r="I16" s="127"/>
      <c r="J16" s="128"/>
      <c r="K16" s="127"/>
      <c r="L16" s="161"/>
    </row>
    <row r="17" spans="2:12" ht="30" hidden="1" customHeight="1" x14ac:dyDescent="0.3">
      <c r="B17" s="73"/>
      <c r="C17" s="73"/>
      <c r="D17" s="240"/>
      <c r="E17" s="62"/>
      <c r="F17" s="125"/>
      <c r="G17" s="29" t="s">
        <v>84</v>
      </c>
      <c r="H17" s="126">
        <f>COUNTIFS(D:D,"=Minimal",F:F,"=Function Available")</f>
        <v>0</v>
      </c>
      <c r="I17" s="127"/>
      <c r="J17" s="128"/>
      <c r="K17" s="127"/>
      <c r="L17" s="161"/>
    </row>
    <row r="18" spans="2:12" ht="30" hidden="1" customHeight="1" x14ac:dyDescent="0.3">
      <c r="B18" s="73"/>
      <c r="C18" s="73"/>
      <c r="D18" s="240"/>
      <c r="E18" s="62"/>
      <c r="F18" s="125"/>
      <c r="G18" s="29" t="s">
        <v>86</v>
      </c>
      <c r="H18" s="126">
        <f>COUNTIFS(D:D,"=Minimal",F:F,"=Function Not Available")</f>
        <v>0</v>
      </c>
      <c r="I18" s="127"/>
      <c r="J18" s="128"/>
      <c r="K18" s="127"/>
      <c r="L18" s="161"/>
    </row>
    <row r="19" spans="2:12" ht="30" hidden="1" customHeight="1" x14ac:dyDescent="0.3">
      <c r="B19" s="73"/>
      <c r="C19" s="73"/>
      <c r="D19" s="240"/>
      <c r="E19" s="62"/>
      <c r="F19" s="125"/>
      <c r="G19" s="29" t="s">
        <v>88</v>
      </c>
      <c r="H19" s="126">
        <f>COUNTIFS(D:D,"=Minimal",F:F,"=Exception")</f>
        <v>0</v>
      </c>
      <c r="I19" s="127"/>
      <c r="J19" s="128"/>
      <c r="K19" s="127"/>
      <c r="L19" s="161"/>
    </row>
    <row r="20" spans="2:12" ht="12" customHeight="1" x14ac:dyDescent="0.3"/>
  </sheetData>
  <sheetProtection algorithmName="SHA-512" hashValue="c2AtlEsT92gMa/rAz0vXXK3FIVWTZvjRDcGuzPJsAmyzjn1v+0SZfSzzq1pJrrbDx7Qs0UbSl/037fiVvnOnvw==" saltValue="5m61fUEHAjgsHbnLkXPa1Q==" spinCount="100000" sheet="1" selectLockedCells="1"/>
  <conditionalFormatting sqref="D4:D19">
    <cfRule type="cellIs" dxfId="137" priority="1" operator="equal">
      <formula>"Important"</formula>
    </cfRule>
    <cfRule type="cellIs" dxfId="136" priority="2" operator="equal">
      <formula>"Crucial"</formula>
    </cfRule>
    <cfRule type="cellIs" dxfId="135" priority="3" operator="equal">
      <formula>"N/A"</formula>
    </cfRule>
  </conditionalFormatting>
  <conditionalFormatting sqref="F4:F19">
    <cfRule type="cellIs" dxfId="134" priority="7" operator="equal">
      <formula>"Function Not Available"</formula>
    </cfRule>
    <cfRule type="cellIs" dxfId="133" priority="8" operator="equal">
      <formula>"Function Available"</formula>
    </cfRule>
    <cfRule type="cellIs" dxfId="132" priority="9" operator="equal">
      <formula>"Exception"</formula>
    </cfRule>
  </conditionalFormatting>
  <dataValidations count="3">
    <dataValidation type="list" allowBlank="1" showInputMessage="1" showErrorMessage="1" errorTitle="Invalid specification type" error="Please enter a Specification type from the drop-down list." sqref="F6:F10" xr:uid="{00000000-0002-0000-1400-000000000000}">
      <formula1>AvailabilityType</formula1>
    </dataValidation>
    <dataValidation type="list" allowBlank="1" showInputMessage="1" showErrorMessage="1" sqref="D4:D10" xr:uid="{99033071-B3BD-4650-B85C-6A79CDADE6C2}">
      <formula1>SpecType</formula1>
    </dataValidation>
    <dataValidation type="list" allowBlank="1" showInputMessage="1" showErrorMessage="1" sqref="F4:F5" xr:uid="{00000000-0002-0000-14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A1:M38"/>
  <sheetViews>
    <sheetView showGridLines="0" zoomScaleNormal="100" workbookViewId="0">
      <selection activeCell="F4" sqref="F4"/>
    </sheetView>
  </sheetViews>
  <sheetFormatPr defaultColWidth="0" defaultRowHeight="14.4" zeroHeight="1" x14ac:dyDescent="0.3"/>
  <cols>
    <col min="1" max="1" width="1"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5.7" customHeight="1" x14ac:dyDescent="0.3"/>
    <row r="2" spans="2:12" ht="129" customHeight="1" thickBot="1" x14ac:dyDescent="0.35">
      <c r="B2" s="96" t="s">
        <v>44</v>
      </c>
      <c r="C2" s="97" t="s">
        <v>45</v>
      </c>
      <c r="D2" s="97" t="s">
        <v>46</v>
      </c>
      <c r="E2" s="97" t="s">
        <v>740</v>
      </c>
      <c r="F2" s="97" t="s">
        <v>42</v>
      </c>
      <c r="G2" s="98" t="s">
        <v>48</v>
      </c>
      <c r="H2" s="98" t="s">
        <v>49</v>
      </c>
      <c r="I2" s="99" t="s">
        <v>50</v>
      </c>
      <c r="J2" s="99" t="s">
        <v>51</v>
      </c>
      <c r="K2" s="100" t="s">
        <v>14</v>
      </c>
      <c r="L2" s="101" t="s">
        <v>52</v>
      </c>
    </row>
    <row r="3" spans="2:12" ht="16.2" thickBot="1" x14ac:dyDescent="0.35">
      <c r="B3" s="8" t="s">
        <v>741</v>
      </c>
      <c r="C3" s="8"/>
      <c r="D3" s="8"/>
      <c r="E3" s="8"/>
      <c r="F3" s="8"/>
      <c r="G3" s="34" t="s">
        <v>54</v>
      </c>
      <c r="H3" s="7">
        <f>COUNTA(D4:D496)</f>
        <v>31</v>
      </c>
      <c r="I3" s="24"/>
      <c r="J3" s="25" t="s">
        <v>55</v>
      </c>
      <c r="K3" s="26">
        <f>SUM(K4:K496)</f>
        <v>0</v>
      </c>
      <c r="L3" s="8"/>
    </row>
    <row r="4" spans="2:12" ht="30" customHeight="1" x14ac:dyDescent="0.3">
      <c r="B4" s="37" t="s">
        <v>742</v>
      </c>
      <c r="C4" s="2">
        <v>1</v>
      </c>
      <c r="D4" s="159" t="s">
        <v>10</v>
      </c>
      <c r="E4" s="55" t="s">
        <v>743</v>
      </c>
      <c r="F4" s="176" t="s">
        <v>43</v>
      </c>
      <c r="G4" s="177" t="s">
        <v>58</v>
      </c>
      <c r="H4" s="178">
        <f>COUNTIF(F4:F496,"Select from Drop Down")</f>
        <v>31</v>
      </c>
      <c r="I4" s="179">
        <f>VLOOKUP($D4,SpecData,2,FALSE)</f>
        <v>2</v>
      </c>
      <c r="J4" s="180">
        <f>VLOOKUP($F4,AvailabilityData,2,FALSE)</f>
        <v>0</v>
      </c>
      <c r="K4" s="181">
        <f>I4*J4</f>
        <v>0</v>
      </c>
      <c r="L4" s="38"/>
    </row>
    <row r="5" spans="2:12" ht="30" customHeight="1" x14ac:dyDescent="0.3">
      <c r="B5" s="37" t="str">
        <f>IF(C5="","",$B$4)</f>
        <v>IHaz</v>
      </c>
      <c r="C5" s="2">
        <f>IF(ISTEXT(D5),MAX($C$4:$C4)+1,"")</f>
        <v>2</v>
      </c>
      <c r="D5" s="159" t="s">
        <v>10</v>
      </c>
      <c r="E5" s="55" t="s">
        <v>744</v>
      </c>
      <c r="F5" s="176" t="s">
        <v>43</v>
      </c>
      <c r="G5" s="177" t="s">
        <v>60</v>
      </c>
      <c r="H5" s="178">
        <f>COUNTIF(F4:F496,"Function Available")</f>
        <v>0</v>
      </c>
      <c r="I5" s="179">
        <f>VLOOKUP($D5,SpecData,2,FALSE)</f>
        <v>2</v>
      </c>
      <c r="J5" s="180">
        <f>VLOOKUP($F5,AvailabilityData,2,FALSE)</f>
        <v>0</v>
      </c>
      <c r="K5" s="181">
        <f t="shared" ref="K5:K37" si="0">I5*J5</f>
        <v>0</v>
      </c>
      <c r="L5" s="38"/>
    </row>
    <row r="6" spans="2:12" ht="30" customHeight="1" x14ac:dyDescent="0.3">
      <c r="B6" s="37" t="str">
        <f>IF(C6="","",$B$4)</f>
        <v>IHaz</v>
      </c>
      <c r="C6" s="2">
        <f>IF(ISTEXT(D6),MAX($C$4:$C5)+1,"")</f>
        <v>3</v>
      </c>
      <c r="D6" s="159" t="s">
        <v>10</v>
      </c>
      <c r="E6" s="55" t="s">
        <v>745</v>
      </c>
      <c r="F6" s="176" t="s">
        <v>43</v>
      </c>
      <c r="G6" s="177" t="s">
        <v>62</v>
      </c>
      <c r="H6" s="184">
        <f>COUNTIF(F4:F496,"Function Not Available")</f>
        <v>0</v>
      </c>
      <c r="I6" s="179">
        <f t="shared" ref="I6:I37" si="1">VLOOKUP($D6,SpecData,2,FALSE)</f>
        <v>2</v>
      </c>
      <c r="J6" s="180">
        <f t="shared" ref="J6:J37" si="2">VLOOKUP($F6,AvailabilityData,2,FALSE)</f>
        <v>0</v>
      </c>
      <c r="K6" s="181">
        <f t="shared" si="0"/>
        <v>0</v>
      </c>
      <c r="L6" s="38"/>
    </row>
    <row r="7" spans="2:12" ht="30" customHeight="1" x14ac:dyDescent="0.3">
      <c r="B7" s="40" t="str">
        <f t="shared" ref="B7" si="3">IF(C7="","",$B$4)</f>
        <v/>
      </c>
      <c r="C7" s="1" t="str">
        <f>IF(ISTEXT(D7),MAX($C$6:$C6)+1,"")</f>
        <v/>
      </c>
      <c r="D7" s="3"/>
      <c r="E7" s="64" t="s">
        <v>746</v>
      </c>
      <c r="F7" s="115"/>
      <c r="G7" s="31"/>
      <c r="H7" s="31"/>
      <c r="I7" s="31"/>
      <c r="J7" s="31"/>
      <c r="K7" s="31"/>
      <c r="L7" s="31"/>
    </row>
    <row r="8" spans="2:12" ht="30" customHeight="1" x14ac:dyDescent="0.3">
      <c r="B8" s="37" t="str">
        <f t="shared" ref="B8:B37" si="4">IF(C8="","",$B$4)</f>
        <v>IHaz</v>
      </c>
      <c r="C8" s="2">
        <f>IF(ISTEXT(D8),MAX($C$4:$C6)+1,"")</f>
        <v>4</v>
      </c>
      <c r="D8" s="159" t="s">
        <v>10</v>
      </c>
      <c r="E8" s="82" t="s">
        <v>747</v>
      </c>
      <c r="F8" s="176" t="s">
        <v>43</v>
      </c>
      <c r="G8" s="177" t="s">
        <v>64</v>
      </c>
      <c r="H8" s="184">
        <f>COUNTIF(F4:F496,"Exception")</f>
        <v>0</v>
      </c>
      <c r="I8" s="179">
        <f t="shared" si="1"/>
        <v>2</v>
      </c>
      <c r="J8" s="180">
        <f t="shared" si="2"/>
        <v>0</v>
      </c>
      <c r="K8" s="181">
        <f t="shared" si="0"/>
        <v>0</v>
      </c>
      <c r="L8" s="38"/>
    </row>
    <row r="9" spans="2:12" ht="30" customHeight="1" x14ac:dyDescent="0.3">
      <c r="B9" s="37" t="str">
        <f t="shared" si="4"/>
        <v>IHaz</v>
      </c>
      <c r="C9" s="2">
        <f>IF(ISTEXT(D9),MAX($C$4:$C8)+1,"")</f>
        <v>5</v>
      </c>
      <c r="D9" s="159" t="s">
        <v>10</v>
      </c>
      <c r="E9" s="81" t="s">
        <v>748</v>
      </c>
      <c r="F9" s="176" t="s">
        <v>43</v>
      </c>
      <c r="G9" s="177" t="s">
        <v>66</v>
      </c>
      <c r="H9" s="185">
        <f>COUNTIFS(D:D,"=Crucial",F:F,"=Select From Drop Down")</f>
        <v>0</v>
      </c>
      <c r="I9" s="179">
        <f t="shared" si="1"/>
        <v>2</v>
      </c>
      <c r="J9" s="180">
        <f t="shared" si="2"/>
        <v>0</v>
      </c>
      <c r="K9" s="181">
        <f t="shared" si="0"/>
        <v>0</v>
      </c>
      <c r="L9" s="38"/>
    </row>
    <row r="10" spans="2:12" ht="30" customHeight="1" x14ac:dyDescent="0.3">
      <c r="B10" s="37" t="str">
        <f t="shared" si="4"/>
        <v>IHaz</v>
      </c>
      <c r="C10" s="2">
        <f>IF(ISTEXT(D10),MAX($C$4:$C9)+1,"")</f>
        <v>6</v>
      </c>
      <c r="D10" s="159" t="s">
        <v>10</v>
      </c>
      <c r="E10" s="81" t="s">
        <v>749</v>
      </c>
      <c r="F10" s="176" t="s">
        <v>43</v>
      </c>
      <c r="G10" s="177" t="s">
        <v>68</v>
      </c>
      <c r="H10" s="185">
        <f>COUNTIFS(D:D,"=Crucial",F:F,"=Function Available")</f>
        <v>0</v>
      </c>
      <c r="I10" s="179">
        <f t="shared" si="1"/>
        <v>2</v>
      </c>
      <c r="J10" s="180">
        <f t="shared" si="2"/>
        <v>0</v>
      </c>
      <c r="K10" s="181">
        <f t="shared" si="0"/>
        <v>0</v>
      </c>
      <c r="L10" s="38"/>
    </row>
    <row r="11" spans="2:12" ht="30" customHeight="1" x14ac:dyDescent="0.3">
      <c r="B11" s="37" t="str">
        <f t="shared" si="4"/>
        <v>IHaz</v>
      </c>
      <c r="C11" s="2">
        <f>IF(ISTEXT(D11),MAX($C$4:$C10)+1,"")</f>
        <v>7</v>
      </c>
      <c r="D11" s="159" t="s">
        <v>10</v>
      </c>
      <c r="E11" s="81" t="s">
        <v>750</v>
      </c>
      <c r="F11" s="176" t="s">
        <v>43</v>
      </c>
      <c r="G11" s="177" t="s">
        <v>70</v>
      </c>
      <c r="H11" s="185">
        <f>COUNTIFS(D:D,"=Crucial",F:F,"=Function Not Available")</f>
        <v>0</v>
      </c>
      <c r="I11" s="179">
        <f t="shared" si="1"/>
        <v>2</v>
      </c>
      <c r="J11" s="180">
        <f t="shared" si="2"/>
        <v>0</v>
      </c>
      <c r="K11" s="181">
        <f t="shared" si="0"/>
        <v>0</v>
      </c>
      <c r="L11" s="38"/>
    </row>
    <row r="12" spans="2:12" ht="30" customHeight="1" x14ac:dyDescent="0.3">
      <c r="B12" s="37" t="str">
        <f t="shared" si="4"/>
        <v>IHaz</v>
      </c>
      <c r="C12" s="2">
        <f>IF(ISTEXT(D12),MAX($C$4:$C11)+1,"")</f>
        <v>8</v>
      </c>
      <c r="D12" s="159" t="s">
        <v>10</v>
      </c>
      <c r="E12" s="81" t="s">
        <v>751</v>
      </c>
      <c r="F12" s="176" t="s">
        <v>43</v>
      </c>
      <c r="G12" s="177" t="s">
        <v>72</v>
      </c>
      <c r="H12" s="185">
        <f>COUNTIFS(D:D,"=Crucial",F:F,"=Exception")</f>
        <v>0</v>
      </c>
      <c r="I12" s="179">
        <f t="shared" si="1"/>
        <v>2</v>
      </c>
      <c r="J12" s="180">
        <f t="shared" si="2"/>
        <v>0</v>
      </c>
      <c r="K12" s="181">
        <f t="shared" si="0"/>
        <v>0</v>
      </c>
      <c r="L12" s="38"/>
    </row>
    <row r="13" spans="2:12" ht="30" customHeight="1" x14ac:dyDescent="0.3">
      <c r="B13" s="37" t="str">
        <f t="shared" si="4"/>
        <v>IHaz</v>
      </c>
      <c r="C13" s="2">
        <f>IF(ISTEXT(D13),MAX($C$4:$C12)+1,"")</f>
        <v>9</v>
      </c>
      <c r="D13" s="159" t="s">
        <v>10</v>
      </c>
      <c r="E13" s="81" t="s">
        <v>752</v>
      </c>
      <c r="F13" s="176" t="s">
        <v>43</v>
      </c>
      <c r="G13" s="186" t="s">
        <v>74</v>
      </c>
      <c r="H13" s="187">
        <f>COUNTIFS(D:D,"=Important",F:F,"=Select From Drop Down")</f>
        <v>31</v>
      </c>
      <c r="I13" s="179">
        <f t="shared" si="1"/>
        <v>2</v>
      </c>
      <c r="J13" s="180">
        <f t="shared" si="2"/>
        <v>0</v>
      </c>
      <c r="K13" s="181">
        <f t="shared" si="0"/>
        <v>0</v>
      </c>
      <c r="L13" s="38"/>
    </row>
    <row r="14" spans="2:12" ht="30" customHeight="1" x14ac:dyDescent="0.3">
      <c r="B14" s="37" t="str">
        <f t="shared" si="4"/>
        <v>IHaz</v>
      </c>
      <c r="C14" s="2">
        <f>IF(ISTEXT(D14),MAX($C$4:$C13)+1,"")</f>
        <v>10</v>
      </c>
      <c r="D14" s="159" t="s">
        <v>10</v>
      </c>
      <c r="E14" s="81" t="s">
        <v>753</v>
      </c>
      <c r="F14" s="176" t="s">
        <v>43</v>
      </c>
      <c r="G14" s="186" t="s">
        <v>76</v>
      </c>
      <c r="H14" s="187">
        <f>COUNTIFS(D:D,"=Important",F:F,"=Function Available")</f>
        <v>0</v>
      </c>
      <c r="I14" s="179">
        <f t="shared" si="1"/>
        <v>2</v>
      </c>
      <c r="J14" s="180">
        <f t="shared" si="2"/>
        <v>0</v>
      </c>
      <c r="K14" s="181">
        <f t="shared" si="0"/>
        <v>0</v>
      </c>
      <c r="L14" s="38"/>
    </row>
    <row r="15" spans="2:12" ht="30" customHeight="1" x14ac:dyDescent="0.3">
      <c r="B15" s="37" t="str">
        <f t="shared" si="4"/>
        <v>IHaz</v>
      </c>
      <c r="C15" s="2">
        <f>IF(ISTEXT(D15),MAX($C$4:$C14)+1,"")</f>
        <v>11</v>
      </c>
      <c r="D15" s="159" t="s">
        <v>10</v>
      </c>
      <c r="E15" s="81" t="s">
        <v>754</v>
      </c>
      <c r="F15" s="176" t="s">
        <v>43</v>
      </c>
      <c r="G15" s="177" t="s">
        <v>78</v>
      </c>
      <c r="H15" s="185">
        <f>COUNTIFS(D:D,"=Important",F:F,"=Function Not Available")</f>
        <v>0</v>
      </c>
      <c r="I15" s="188">
        <f t="shared" si="1"/>
        <v>2</v>
      </c>
      <c r="J15" s="189">
        <f t="shared" si="2"/>
        <v>0</v>
      </c>
      <c r="K15" s="181">
        <f t="shared" si="0"/>
        <v>0</v>
      </c>
      <c r="L15" s="38"/>
    </row>
    <row r="16" spans="2:12" ht="41.4" x14ac:dyDescent="0.3">
      <c r="B16" s="37" t="str">
        <f t="shared" si="4"/>
        <v>IHaz</v>
      </c>
      <c r="C16" s="2">
        <f>IF(ISTEXT(D16),MAX($C$4:$C15)+1,"")</f>
        <v>12</v>
      </c>
      <c r="D16" s="159" t="s">
        <v>10</v>
      </c>
      <c r="E16" s="60" t="s">
        <v>755</v>
      </c>
      <c r="F16" s="176" t="s">
        <v>43</v>
      </c>
      <c r="G16" s="177" t="s">
        <v>80</v>
      </c>
      <c r="H16" s="185">
        <f>COUNTIFS(D:D,"=Important",F:F,"=Exception")</f>
        <v>0</v>
      </c>
      <c r="I16" s="188">
        <f t="shared" si="1"/>
        <v>2</v>
      </c>
      <c r="J16" s="189">
        <f t="shared" si="2"/>
        <v>0</v>
      </c>
      <c r="K16" s="181">
        <f t="shared" si="0"/>
        <v>0</v>
      </c>
      <c r="L16" s="38"/>
    </row>
    <row r="17" spans="2:12" ht="30" customHeight="1" x14ac:dyDescent="0.3">
      <c r="B17" s="37" t="str">
        <f t="shared" si="4"/>
        <v>IHaz</v>
      </c>
      <c r="C17" s="2">
        <f>IF(ISTEXT(D17),MAX($C$4:$C16)+1,"")</f>
        <v>13</v>
      </c>
      <c r="D17" s="159" t="s">
        <v>10</v>
      </c>
      <c r="E17" s="60" t="s">
        <v>756</v>
      </c>
      <c r="F17" s="176" t="s">
        <v>43</v>
      </c>
      <c r="G17" s="177" t="s">
        <v>82</v>
      </c>
      <c r="H17" s="185">
        <f>COUNTIFS(D:D,"=Minimal",F:F,"=Select From Drop Down")</f>
        <v>0</v>
      </c>
      <c r="I17" s="188">
        <f t="shared" si="1"/>
        <v>2</v>
      </c>
      <c r="J17" s="189">
        <f t="shared" si="2"/>
        <v>0</v>
      </c>
      <c r="K17" s="181">
        <f t="shared" si="0"/>
        <v>0</v>
      </c>
      <c r="L17" s="38"/>
    </row>
    <row r="18" spans="2:12" ht="30" customHeight="1" x14ac:dyDescent="0.3">
      <c r="B18" s="37" t="str">
        <f t="shared" si="4"/>
        <v>IHaz</v>
      </c>
      <c r="C18" s="2">
        <f>IF(ISTEXT(D18),MAX($C$4:$C17)+1,"")</f>
        <v>14</v>
      </c>
      <c r="D18" s="159" t="s">
        <v>10</v>
      </c>
      <c r="E18" s="60" t="s">
        <v>757</v>
      </c>
      <c r="F18" s="176" t="s">
        <v>43</v>
      </c>
      <c r="G18" s="177" t="s">
        <v>84</v>
      </c>
      <c r="H18" s="185">
        <f>COUNTIFS(D:D,"=Minimal",F:F,"=Function Available")</f>
        <v>0</v>
      </c>
      <c r="I18" s="188">
        <f t="shared" si="1"/>
        <v>2</v>
      </c>
      <c r="J18" s="189">
        <f t="shared" si="2"/>
        <v>0</v>
      </c>
      <c r="K18" s="181">
        <f t="shared" si="0"/>
        <v>0</v>
      </c>
      <c r="L18" s="38"/>
    </row>
    <row r="19" spans="2:12" ht="30" customHeight="1" x14ac:dyDescent="0.3">
      <c r="B19" s="40" t="str">
        <f t="shared" si="4"/>
        <v/>
      </c>
      <c r="C19" s="1" t="str">
        <f>IF(ISTEXT(D19),MAX($C$6:$C18)+1,"")</f>
        <v/>
      </c>
      <c r="D19" s="3"/>
      <c r="E19" s="64" t="s">
        <v>758</v>
      </c>
      <c r="F19" s="115"/>
      <c r="G19" s="31"/>
      <c r="H19" s="31"/>
      <c r="I19" s="31"/>
      <c r="J19" s="31"/>
      <c r="K19" s="31"/>
      <c r="L19" s="31"/>
    </row>
    <row r="20" spans="2:12" ht="30" customHeight="1" x14ac:dyDescent="0.3">
      <c r="B20" s="37" t="str">
        <f t="shared" si="4"/>
        <v>IHaz</v>
      </c>
      <c r="C20" s="2">
        <f>IF(ISTEXT(D20),MAX($C$4:$C18)+1,"")</f>
        <v>15</v>
      </c>
      <c r="D20" s="159" t="s">
        <v>10</v>
      </c>
      <c r="E20" s="284" t="s">
        <v>759</v>
      </c>
      <c r="F20" s="176" t="s">
        <v>43</v>
      </c>
      <c r="G20" s="177" t="s">
        <v>86</v>
      </c>
      <c r="H20" s="185">
        <f>COUNTIFS(D:D,"=Minimal",F:F,"=Function Not Available")</f>
        <v>0</v>
      </c>
      <c r="I20" s="188">
        <f t="shared" si="1"/>
        <v>2</v>
      </c>
      <c r="J20" s="189">
        <f t="shared" si="2"/>
        <v>0</v>
      </c>
      <c r="K20" s="181">
        <f t="shared" si="0"/>
        <v>0</v>
      </c>
      <c r="L20" s="38"/>
    </row>
    <row r="21" spans="2:12" ht="30" customHeight="1" x14ac:dyDescent="0.3">
      <c r="B21" s="37" t="str">
        <f t="shared" si="4"/>
        <v>IHaz</v>
      </c>
      <c r="C21" s="2">
        <f>IF(ISTEXT(D21),MAX($C$4:$C20)+1,"")</f>
        <v>16</v>
      </c>
      <c r="D21" s="159" t="s">
        <v>10</v>
      </c>
      <c r="E21" s="285" t="s">
        <v>760</v>
      </c>
      <c r="F21" s="176" t="s">
        <v>43</v>
      </c>
      <c r="G21" s="177" t="s">
        <v>88</v>
      </c>
      <c r="H21" s="185">
        <f>COUNTIFS(D:D,"=Minimal",F:F,"=Exception")</f>
        <v>0</v>
      </c>
      <c r="I21" s="188">
        <f t="shared" si="1"/>
        <v>2</v>
      </c>
      <c r="J21" s="189">
        <f t="shared" si="2"/>
        <v>0</v>
      </c>
      <c r="K21" s="181">
        <f t="shared" si="0"/>
        <v>0</v>
      </c>
      <c r="L21" s="38"/>
    </row>
    <row r="22" spans="2:12" ht="30" customHeight="1" x14ac:dyDescent="0.3">
      <c r="B22" s="37" t="str">
        <f t="shared" si="4"/>
        <v>IHaz</v>
      </c>
      <c r="C22" s="2">
        <f>IF(ISTEXT(D22),MAX($C$4:$C21)+1,"")</f>
        <v>17</v>
      </c>
      <c r="D22" s="159" t="s">
        <v>10</v>
      </c>
      <c r="E22" s="285" t="s">
        <v>761</v>
      </c>
      <c r="F22" s="176" t="s">
        <v>43</v>
      </c>
      <c r="G22" s="177"/>
      <c r="H22" s="184"/>
      <c r="I22" s="188">
        <f t="shared" si="1"/>
        <v>2</v>
      </c>
      <c r="J22" s="189">
        <f t="shared" si="2"/>
        <v>0</v>
      </c>
      <c r="K22" s="181">
        <f t="shared" si="0"/>
        <v>0</v>
      </c>
      <c r="L22" s="38"/>
    </row>
    <row r="23" spans="2:12" ht="30" customHeight="1" x14ac:dyDescent="0.3">
      <c r="B23" s="40" t="str">
        <f t="shared" ref="B23" si="5">IF(C23="","",$B$4)</f>
        <v/>
      </c>
      <c r="C23" s="1" t="str">
        <f>IF(ISTEXT(D23),MAX($C$6:$C22)+1,"")</f>
        <v/>
      </c>
      <c r="D23" s="3"/>
      <c r="E23" s="64" t="s">
        <v>762</v>
      </c>
      <c r="F23" s="115"/>
      <c r="G23" s="31"/>
      <c r="H23" s="31"/>
      <c r="I23" s="31"/>
      <c r="J23" s="31"/>
      <c r="K23" s="31"/>
      <c r="L23" s="31"/>
    </row>
    <row r="24" spans="2:12" ht="29.7" customHeight="1" x14ac:dyDescent="0.3">
      <c r="B24" s="37" t="str">
        <f t="shared" si="4"/>
        <v>IHaz</v>
      </c>
      <c r="C24" s="2">
        <f>IF(ISTEXT(D24),MAX($C$4:$C22)+1,"")</f>
        <v>18</v>
      </c>
      <c r="D24" s="159" t="s">
        <v>10</v>
      </c>
      <c r="E24" s="82" t="s">
        <v>763</v>
      </c>
      <c r="F24" s="176" t="s">
        <v>43</v>
      </c>
      <c r="G24" s="177"/>
      <c r="H24" s="184"/>
      <c r="I24" s="188">
        <f t="shared" si="1"/>
        <v>2</v>
      </c>
      <c r="J24" s="189">
        <f t="shared" si="2"/>
        <v>0</v>
      </c>
      <c r="K24" s="181">
        <f t="shared" si="0"/>
        <v>0</v>
      </c>
      <c r="L24" s="38"/>
    </row>
    <row r="25" spans="2:12" ht="30" customHeight="1" x14ac:dyDescent="0.3">
      <c r="B25" s="37" t="str">
        <f t="shared" si="4"/>
        <v>IHaz</v>
      </c>
      <c r="C25" s="2">
        <f>IF(ISTEXT(D25),MAX($C$4:$C24)+1,"")</f>
        <v>19</v>
      </c>
      <c r="D25" s="159" t="s">
        <v>10</v>
      </c>
      <c r="E25" s="82" t="s">
        <v>764</v>
      </c>
      <c r="F25" s="176" t="s">
        <v>43</v>
      </c>
      <c r="G25" s="177"/>
      <c r="H25" s="184"/>
      <c r="I25" s="188">
        <f t="shared" si="1"/>
        <v>2</v>
      </c>
      <c r="J25" s="189">
        <f t="shared" si="2"/>
        <v>0</v>
      </c>
      <c r="K25" s="181">
        <f t="shared" si="0"/>
        <v>0</v>
      </c>
      <c r="L25" s="38"/>
    </row>
    <row r="26" spans="2:12" ht="30" customHeight="1" x14ac:dyDescent="0.3">
      <c r="B26" s="37" t="str">
        <f t="shared" si="4"/>
        <v>IHaz</v>
      </c>
      <c r="C26" s="2">
        <f>IF(ISTEXT(D26),MAX($C$4:$C25)+1,"")</f>
        <v>20</v>
      </c>
      <c r="D26" s="159" t="s">
        <v>10</v>
      </c>
      <c r="E26" s="82" t="s">
        <v>765</v>
      </c>
      <c r="F26" s="176" t="s">
        <v>43</v>
      </c>
      <c r="G26" s="177"/>
      <c r="H26" s="184"/>
      <c r="I26" s="188">
        <f t="shared" si="1"/>
        <v>2</v>
      </c>
      <c r="J26" s="189">
        <f t="shared" si="2"/>
        <v>0</v>
      </c>
      <c r="K26" s="181">
        <f t="shared" si="0"/>
        <v>0</v>
      </c>
      <c r="L26" s="38"/>
    </row>
    <row r="27" spans="2:12" ht="30" customHeight="1" x14ac:dyDescent="0.3">
      <c r="B27" s="37" t="str">
        <f t="shared" si="4"/>
        <v>IHaz</v>
      </c>
      <c r="C27" s="2">
        <f>IF(ISTEXT(D27),MAX($C$4:$C26)+1,"")</f>
        <v>21</v>
      </c>
      <c r="D27" s="159" t="s">
        <v>10</v>
      </c>
      <c r="E27" s="82" t="s">
        <v>766</v>
      </c>
      <c r="F27" s="176" t="s">
        <v>43</v>
      </c>
      <c r="G27" s="192"/>
      <c r="H27" s="193"/>
      <c r="I27" s="190">
        <f t="shared" si="1"/>
        <v>2</v>
      </c>
      <c r="J27" s="191">
        <f t="shared" si="2"/>
        <v>0</v>
      </c>
      <c r="K27" s="181">
        <f t="shared" si="0"/>
        <v>0</v>
      </c>
      <c r="L27" s="38"/>
    </row>
    <row r="28" spans="2:12" ht="30" customHeight="1" x14ac:dyDescent="0.3">
      <c r="B28" s="37" t="str">
        <f t="shared" si="4"/>
        <v>IHaz</v>
      </c>
      <c r="C28" s="2">
        <f>IF(ISTEXT(D28),MAX($C$4:$C27)+1,"")</f>
        <v>22</v>
      </c>
      <c r="D28" s="159" t="s">
        <v>10</v>
      </c>
      <c r="E28" s="82" t="s">
        <v>767</v>
      </c>
      <c r="F28" s="176" t="s">
        <v>43</v>
      </c>
      <c r="G28" s="186"/>
      <c r="H28" s="234"/>
      <c r="I28" s="179">
        <f t="shared" si="1"/>
        <v>2</v>
      </c>
      <c r="J28" s="180">
        <f t="shared" si="2"/>
        <v>0</v>
      </c>
      <c r="K28" s="181">
        <f t="shared" si="0"/>
        <v>0</v>
      </c>
      <c r="L28" s="38"/>
    </row>
    <row r="29" spans="2:12" ht="30" customHeight="1" x14ac:dyDescent="0.3">
      <c r="B29" s="37" t="str">
        <f t="shared" si="4"/>
        <v>IHaz</v>
      </c>
      <c r="C29" s="2">
        <f>IF(ISTEXT(D29),MAX($C$4:$C28)+1,"")</f>
        <v>23</v>
      </c>
      <c r="D29" s="159" t="s">
        <v>10</v>
      </c>
      <c r="E29" s="81" t="s">
        <v>768</v>
      </c>
      <c r="F29" s="176" t="s">
        <v>43</v>
      </c>
      <c r="G29" s="177"/>
      <c r="H29" s="184"/>
      <c r="I29" s="188">
        <f t="shared" si="1"/>
        <v>2</v>
      </c>
      <c r="J29" s="189">
        <f t="shared" si="2"/>
        <v>0</v>
      </c>
      <c r="K29" s="181">
        <f t="shared" si="0"/>
        <v>0</v>
      </c>
      <c r="L29" s="38"/>
    </row>
    <row r="30" spans="2:12" ht="30" customHeight="1" x14ac:dyDescent="0.3">
      <c r="B30" s="37" t="str">
        <f t="shared" si="4"/>
        <v>IHaz</v>
      </c>
      <c r="C30" s="2">
        <f>IF(ISTEXT(D30),MAX($C$4:$C29)+1,"")</f>
        <v>24</v>
      </c>
      <c r="D30" s="159" t="s">
        <v>10</v>
      </c>
      <c r="E30" s="81" t="s">
        <v>769</v>
      </c>
      <c r="F30" s="176" t="s">
        <v>43</v>
      </c>
      <c r="G30" s="192"/>
      <c r="H30" s="193"/>
      <c r="I30" s="190">
        <f t="shared" si="1"/>
        <v>2</v>
      </c>
      <c r="J30" s="191">
        <f t="shared" si="2"/>
        <v>0</v>
      </c>
      <c r="K30" s="181">
        <f t="shared" si="0"/>
        <v>0</v>
      </c>
      <c r="L30" s="38"/>
    </row>
    <row r="31" spans="2:12" ht="30" customHeight="1" x14ac:dyDescent="0.3">
      <c r="B31" s="37" t="str">
        <f t="shared" si="4"/>
        <v>IHaz</v>
      </c>
      <c r="C31" s="2">
        <f>IF(ISTEXT(D31),MAX($C$4:$C30)+1,"")</f>
        <v>25</v>
      </c>
      <c r="D31" s="159" t="s">
        <v>10</v>
      </c>
      <c r="E31" s="81" t="s">
        <v>770</v>
      </c>
      <c r="F31" s="176" t="s">
        <v>43</v>
      </c>
      <c r="G31" s="186"/>
      <c r="H31" s="234"/>
      <c r="I31" s="179">
        <f t="shared" si="1"/>
        <v>2</v>
      </c>
      <c r="J31" s="180">
        <f t="shared" si="2"/>
        <v>0</v>
      </c>
      <c r="K31" s="181">
        <f t="shared" si="0"/>
        <v>0</v>
      </c>
      <c r="L31" s="38"/>
    </row>
    <row r="32" spans="2:12" ht="30" customHeight="1" x14ac:dyDescent="0.3">
      <c r="B32" s="37" t="str">
        <f t="shared" si="4"/>
        <v>IHaz</v>
      </c>
      <c r="C32" s="2">
        <f>IF(ISTEXT(D32),MAX($C$4:$C31)+1,"")</f>
        <v>26</v>
      </c>
      <c r="D32" s="159" t="s">
        <v>10</v>
      </c>
      <c r="E32" s="285" t="s">
        <v>771</v>
      </c>
      <c r="F32" s="176" t="s">
        <v>43</v>
      </c>
      <c r="G32" s="177"/>
      <c r="H32" s="184"/>
      <c r="I32" s="188">
        <f t="shared" si="1"/>
        <v>2</v>
      </c>
      <c r="J32" s="189">
        <f t="shared" si="2"/>
        <v>0</v>
      </c>
      <c r="K32" s="181">
        <f t="shared" si="0"/>
        <v>0</v>
      </c>
      <c r="L32" s="38"/>
    </row>
    <row r="33" spans="2:12" ht="41.4" x14ac:dyDescent="0.3">
      <c r="B33" s="37" t="str">
        <f t="shared" si="4"/>
        <v>IHaz</v>
      </c>
      <c r="C33" s="2">
        <f>IF(ISTEXT(D33),MAX($C$4:$C32)+1,"")</f>
        <v>27</v>
      </c>
      <c r="D33" s="159" t="s">
        <v>10</v>
      </c>
      <c r="E33" s="55" t="s">
        <v>772</v>
      </c>
      <c r="F33" s="176" t="s">
        <v>43</v>
      </c>
      <c r="G33" s="177"/>
      <c r="H33" s="184"/>
      <c r="I33" s="188">
        <f t="shared" si="1"/>
        <v>2</v>
      </c>
      <c r="J33" s="189">
        <f t="shared" si="2"/>
        <v>0</v>
      </c>
      <c r="K33" s="181">
        <f t="shared" si="0"/>
        <v>0</v>
      </c>
      <c r="L33" s="38"/>
    </row>
    <row r="34" spans="2:12" ht="30" customHeight="1" x14ac:dyDescent="0.3">
      <c r="B34" s="37" t="str">
        <f t="shared" si="4"/>
        <v>IHaz</v>
      </c>
      <c r="C34" s="2">
        <f>IF(ISTEXT(D34),MAX($C$4:$C33)+1,"")</f>
        <v>28</v>
      </c>
      <c r="D34" s="159" t="s">
        <v>10</v>
      </c>
      <c r="E34" s="283" t="s">
        <v>773</v>
      </c>
      <c r="F34" s="176" t="s">
        <v>43</v>
      </c>
      <c r="G34" s="177"/>
      <c r="H34" s="184"/>
      <c r="I34" s="188">
        <f t="shared" si="1"/>
        <v>2</v>
      </c>
      <c r="J34" s="189">
        <f t="shared" si="2"/>
        <v>0</v>
      </c>
      <c r="K34" s="181">
        <f t="shared" si="0"/>
        <v>0</v>
      </c>
      <c r="L34" s="38"/>
    </row>
    <row r="35" spans="2:12" ht="30" customHeight="1" x14ac:dyDescent="0.3">
      <c r="B35" s="37" t="str">
        <f t="shared" si="4"/>
        <v>IHaz</v>
      </c>
      <c r="C35" s="2">
        <f>IF(ISTEXT(D35),MAX($C$4:$C34)+1,"")</f>
        <v>29</v>
      </c>
      <c r="D35" s="159" t="s">
        <v>10</v>
      </c>
      <c r="E35" s="55" t="s">
        <v>774</v>
      </c>
      <c r="F35" s="176" t="s">
        <v>43</v>
      </c>
      <c r="G35" s="177"/>
      <c r="H35" s="184"/>
      <c r="I35" s="188">
        <f t="shared" si="1"/>
        <v>2</v>
      </c>
      <c r="J35" s="189">
        <f t="shared" si="2"/>
        <v>0</v>
      </c>
      <c r="K35" s="181">
        <f t="shared" si="0"/>
        <v>0</v>
      </c>
      <c r="L35" s="38"/>
    </row>
    <row r="36" spans="2:12" ht="30" customHeight="1" x14ac:dyDescent="0.3">
      <c r="B36" s="37" t="str">
        <f t="shared" si="4"/>
        <v>IHaz</v>
      </c>
      <c r="C36" s="2">
        <f>IF(ISTEXT(D36),MAX($C$4:$C35)+1,"")</f>
        <v>30</v>
      </c>
      <c r="D36" s="159" t="s">
        <v>10</v>
      </c>
      <c r="E36" s="55" t="s">
        <v>775</v>
      </c>
      <c r="F36" s="176" t="s">
        <v>43</v>
      </c>
      <c r="G36" s="177"/>
      <c r="H36" s="184"/>
      <c r="I36" s="188">
        <f t="shared" si="1"/>
        <v>2</v>
      </c>
      <c r="J36" s="189">
        <f t="shared" si="2"/>
        <v>0</v>
      </c>
      <c r="K36" s="181">
        <f t="shared" si="0"/>
        <v>0</v>
      </c>
      <c r="L36" s="38"/>
    </row>
    <row r="37" spans="2:12" ht="30" customHeight="1" x14ac:dyDescent="0.3">
      <c r="B37" s="37" t="str">
        <f t="shared" si="4"/>
        <v>IHaz</v>
      </c>
      <c r="C37" s="2">
        <f>IF(ISTEXT(D37),MAX($C$4:$C36)+1,"")</f>
        <v>31</v>
      </c>
      <c r="D37" s="159" t="s">
        <v>10</v>
      </c>
      <c r="E37" s="55" t="s">
        <v>776</v>
      </c>
      <c r="F37" s="176" t="s">
        <v>43</v>
      </c>
      <c r="G37" s="177"/>
      <c r="H37" s="184"/>
      <c r="I37" s="188">
        <f t="shared" si="1"/>
        <v>2</v>
      </c>
      <c r="J37" s="189">
        <f t="shared" si="2"/>
        <v>0</v>
      </c>
      <c r="K37" s="181">
        <f t="shared" si="0"/>
        <v>0</v>
      </c>
      <c r="L37" s="38"/>
    </row>
    <row r="38" spans="2:12" x14ac:dyDescent="0.3"/>
  </sheetData>
  <sheetProtection algorithmName="SHA-512" hashValue="lIRwi8+kkeEUyl2/x3jGqY0/hxL+5/Ij+TkGc+Erekz7Wfpjn7HqoDw8zdONeZIZDow160xAiGV0yGRIFc3q+Q==" saltValue="upugBbocR5d1B9/u5r3Wtg==" spinCount="100000" sheet="1" selectLockedCells="1"/>
  <conditionalFormatting sqref="D4:D6 D8:D18 D20:D22 D24:D37">
    <cfRule type="cellIs" dxfId="131" priority="1" operator="equal">
      <formula>"Important"</formula>
    </cfRule>
    <cfRule type="cellIs" dxfId="130" priority="2" operator="equal">
      <formula>"Crucial"</formula>
    </cfRule>
    <cfRule type="cellIs" dxfId="129" priority="3" operator="equal">
      <formula>"N/A"</formula>
    </cfRule>
  </conditionalFormatting>
  <conditionalFormatting sqref="F4:F37">
    <cfRule type="cellIs" dxfId="128" priority="7" operator="equal">
      <formula>"Function Not Available"</formula>
    </cfRule>
    <cfRule type="cellIs" dxfId="127" priority="8" operator="equal">
      <formula>"Function Available"</formula>
    </cfRule>
    <cfRule type="cellIs" dxfId="126" priority="9" operator="equal">
      <formula>"Exception"</formula>
    </cfRule>
  </conditionalFormatting>
  <dataValidations count="3">
    <dataValidation type="list" allowBlank="1" showInputMessage="1" showErrorMessage="1" errorTitle="Invalid specification type" error="Please enter a Specification type from the drop-down list." sqref="F6 F8:F18 F20:F22 F24:F37" xr:uid="{00000000-0002-0000-1500-000000000000}">
      <formula1>AvailabilityType</formula1>
    </dataValidation>
    <dataValidation type="list" allowBlank="1" showInputMessage="1" showErrorMessage="1" sqref="D4:D6 D8:D18 D20:D22 D24:D37" xr:uid="{EF423C5A-31EA-4A70-AB1D-5249E36D2F83}">
      <formula1>SpecType</formula1>
    </dataValidation>
    <dataValidation type="list" allowBlank="1" showInputMessage="1" showErrorMessage="1" sqref="F4:F5" xr:uid="{00000000-0002-0000-15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00"/>
  </sheetPr>
  <dimension ref="A1:M42"/>
  <sheetViews>
    <sheetView showGridLines="0" zoomScaleNormal="100" workbookViewId="0">
      <selection activeCell="F4" sqref="F4"/>
    </sheetView>
  </sheetViews>
  <sheetFormatPr defaultColWidth="0" defaultRowHeight="14.4" zeroHeight="1" x14ac:dyDescent="0.3"/>
  <cols>
    <col min="1" max="1" width="1.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7.95" customHeight="1" thickBot="1" x14ac:dyDescent="0.35"/>
    <row r="2" spans="2:12" ht="129" customHeight="1" thickBot="1" x14ac:dyDescent="0.35">
      <c r="B2" s="102" t="s">
        <v>44</v>
      </c>
      <c r="C2" s="102" t="s">
        <v>45</v>
      </c>
      <c r="D2" s="102" t="s">
        <v>46</v>
      </c>
      <c r="E2" s="102" t="s">
        <v>777</v>
      </c>
      <c r="F2" s="102" t="s">
        <v>42</v>
      </c>
      <c r="G2" s="103" t="s">
        <v>48</v>
      </c>
      <c r="H2" s="103" t="s">
        <v>49</v>
      </c>
      <c r="I2" s="104" t="s">
        <v>50</v>
      </c>
      <c r="J2" s="104" t="s">
        <v>51</v>
      </c>
      <c r="K2" s="105" t="s">
        <v>14</v>
      </c>
      <c r="L2" s="106" t="s">
        <v>52</v>
      </c>
    </row>
    <row r="3" spans="2:12" ht="16.2" thickBot="1" x14ac:dyDescent="0.35">
      <c r="B3" s="45" t="s">
        <v>778</v>
      </c>
      <c r="C3" s="8"/>
      <c r="D3" s="8"/>
      <c r="E3" s="8"/>
      <c r="F3" s="8"/>
      <c r="G3" s="34" t="s">
        <v>54</v>
      </c>
      <c r="H3" s="7">
        <f>COUNTA(D4:D478)</f>
        <v>6</v>
      </c>
      <c r="I3" s="24"/>
      <c r="J3" s="25" t="s">
        <v>55</v>
      </c>
      <c r="K3" s="26">
        <f t="shared" ref="K3" si="0">SUM(K4:K478)</f>
        <v>0</v>
      </c>
      <c r="L3" s="46"/>
    </row>
    <row r="4" spans="2:12" ht="30" customHeight="1" x14ac:dyDescent="0.3">
      <c r="B4" s="48" t="s">
        <v>779</v>
      </c>
      <c r="C4" s="2">
        <v>1</v>
      </c>
      <c r="D4" s="159" t="s">
        <v>11</v>
      </c>
      <c r="E4" s="60" t="s">
        <v>780</v>
      </c>
      <c r="F4" s="176" t="s">
        <v>43</v>
      </c>
      <c r="G4" s="177" t="s">
        <v>58</v>
      </c>
      <c r="H4" s="178">
        <f>COUNTIF(F4:F478,"Select from Drop Down")</f>
        <v>6</v>
      </c>
      <c r="I4" s="179">
        <f>VLOOKUP($D4,SpecData,2,FALSE)</f>
        <v>1</v>
      </c>
      <c r="J4" s="180">
        <f>VLOOKUP($F4,AvailabilityData,2,FALSE)</f>
        <v>0</v>
      </c>
      <c r="K4" s="181">
        <f>I4*J4</f>
        <v>0</v>
      </c>
      <c r="L4" s="47"/>
    </row>
    <row r="5" spans="2:12" ht="30" customHeight="1" x14ac:dyDescent="0.3">
      <c r="B5" s="48" t="str">
        <f>IF(C5="","",$B$4)</f>
        <v>ILogR</v>
      </c>
      <c r="C5" s="2">
        <f>IF(ISTEXT(D5),MAX($C$4:$C4)+1,"")</f>
        <v>2</v>
      </c>
      <c r="D5" s="159" t="s">
        <v>11</v>
      </c>
      <c r="E5" s="60" t="s">
        <v>781</v>
      </c>
      <c r="F5" s="176" t="s">
        <v>43</v>
      </c>
      <c r="G5" s="177" t="s">
        <v>60</v>
      </c>
      <c r="H5" s="178">
        <f>COUNTIF(F4:F478,"Function Available")</f>
        <v>0</v>
      </c>
      <c r="I5" s="179">
        <f>VLOOKUP($D5,SpecData,2,FALSE)</f>
        <v>1</v>
      </c>
      <c r="J5" s="180">
        <f>VLOOKUP($F5,AvailabilityData,2,FALSE)</f>
        <v>0</v>
      </c>
      <c r="K5" s="181">
        <f t="shared" ref="K5:K9" si="1">I5*J5</f>
        <v>0</v>
      </c>
      <c r="L5" s="47"/>
    </row>
    <row r="6" spans="2:12" ht="30" customHeight="1" x14ac:dyDescent="0.3">
      <c r="B6" s="48" t="str">
        <f>IF(C6="","",$B$4)</f>
        <v>ILogR</v>
      </c>
      <c r="C6" s="2">
        <f>IF(ISTEXT(D6),MAX($C$4:$C5)+1,"")</f>
        <v>3</v>
      </c>
      <c r="D6" s="159" t="s">
        <v>11</v>
      </c>
      <c r="E6" s="60" t="s">
        <v>782</v>
      </c>
      <c r="F6" s="176" t="s">
        <v>43</v>
      </c>
      <c r="G6" s="177" t="s">
        <v>62</v>
      </c>
      <c r="H6" s="184">
        <f>COUNTIF(F4:F478,"Function Not Available")</f>
        <v>0</v>
      </c>
      <c r="I6" s="179">
        <f t="shared" ref="I6:I9" si="2">VLOOKUP($D6,SpecData,2,FALSE)</f>
        <v>1</v>
      </c>
      <c r="J6" s="180">
        <f t="shared" ref="J6:J9" si="3">VLOOKUP($F6,AvailabilityData,2,FALSE)</f>
        <v>0</v>
      </c>
      <c r="K6" s="181">
        <f t="shared" si="1"/>
        <v>0</v>
      </c>
      <c r="L6" s="47"/>
    </row>
    <row r="7" spans="2:12" ht="30" customHeight="1" x14ac:dyDescent="0.3">
      <c r="B7" s="48" t="str">
        <f t="shared" ref="B7:B9" si="4">IF(C7="","",$B$4)</f>
        <v>ILogR</v>
      </c>
      <c r="C7" s="2">
        <f>IF(ISTEXT(D7),MAX($C$4:$C6)+1,"")</f>
        <v>4</v>
      </c>
      <c r="D7" s="159" t="s">
        <v>11</v>
      </c>
      <c r="E7" s="60" t="s">
        <v>783</v>
      </c>
      <c r="F7" s="176" t="s">
        <v>43</v>
      </c>
      <c r="G7" s="177" t="s">
        <v>64</v>
      </c>
      <c r="H7" s="184">
        <f>COUNTIF(F4:F478,"Exception")</f>
        <v>0</v>
      </c>
      <c r="I7" s="179">
        <f t="shared" si="2"/>
        <v>1</v>
      </c>
      <c r="J7" s="180">
        <f t="shared" si="3"/>
        <v>0</v>
      </c>
      <c r="K7" s="181">
        <f t="shared" si="1"/>
        <v>0</v>
      </c>
      <c r="L7" s="47"/>
    </row>
    <row r="8" spans="2:12" ht="30" customHeight="1" x14ac:dyDescent="0.3">
      <c r="B8" s="48" t="str">
        <f t="shared" si="4"/>
        <v>ILogR</v>
      </c>
      <c r="C8" s="2">
        <f>IF(ISTEXT(D8),MAX($C$4:$C7)+1,"")</f>
        <v>5</v>
      </c>
      <c r="D8" s="159" t="s">
        <v>11</v>
      </c>
      <c r="E8" s="60" t="s">
        <v>784</v>
      </c>
      <c r="F8" s="176" t="s">
        <v>43</v>
      </c>
      <c r="G8" s="177" t="s">
        <v>66</v>
      </c>
      <c r="H8" s="185">
        <f>COUNTIFS(D:D,"=Crucial",F:F,"=Select From Drop Down")</f>
        <v>0</v>
      </c>
      <c r="I8" s="179">
        <f t="shared" si="2"/>
        <v>1</v>
      </c>
      <c r="J8" s="180">
        <f t="shared" si="3"/>
        <v>0</v>
      </c>
      <c r="K8" s="181">
        <f t="shared" si="1"/>
        <v>0</v>
      </c>
      <c r="L8" s="47"/>
    </row>
    <row r="9" spans="2:12" ht="30" customHeight="1" thickBot="1" x14ac:dyDescent="0.35">
      <c r="B9" s="52" t="str">
        <f t="shared" si="4"/>
        <v>ILogR</v>
      </c>
      <c r="C9" s="53">
        <f>IF(ISTEXT(D9),MAX($C$4:$C8)+1,"")</f>
        <v>6</v>
      </c>
      <c r="D9" s="168" t="s">
        <v>11</v>
      </c>
      <c r="E9" s="78" t="s">
        <v>785</v>
      </c>
      <c r="F9" s="243" t="s">
        <v>43</v>
      </c>
      <c r="G9" s="201" t="s">
        <v>68</v>
      </c>
      <c r="H9" s="202">
        <f>COUNTIFS(D:D,"=Crucial",F:F,"=Function Available")</f>
        <v>0</v>
      </c>
      <c r="I9" s="197">
        <f t="shared" si="2"/>
        <v>1</v>
      </c>
      <c r="J9" s="198">
        <f t="shared" si="3"/>
        <v>0</v>
      </c>
      <c r="K9" s="199">
        <f t="shared" si="1"/>
        <v>0</v>
      </c>
      <c r="L9" s="54"/>
    </row>
    <row r="10" spans="2:12" ht="30" hidden="1" customHeight="1" x14ac:dyDescent="0.3">
      <c r="B10" s="61"/>
      <c r="C10" s="61"/>
      <c r="D10" s="171"/>
      <c r="E10" s="77"/>
      <c r="F10" s="121"/>
      <c r="G10" s="34" t="s">
        <v>70</v>
      </c>
      <c r="H10" s="122">
        <f>COUNTIFS(D:D,"=Crucial",F:F,"=Function Not Available")</f>
        <v>0</v>
      </c>
      <c r="I10" s="123"/>
      <c r="J10" s="124"/>
      <c r="K10" s="123"/>
      <c r="L10" s="173"/>
    </row>
    <row r="11" spans="2:12" ht="30" hidden="1" customHeight="1" x14ac:dyDescent="0.3">
      <c r="B11" s="73"/>
      <c r="C11" s="73"/>
      <c r="D11" s="240"/>
      <c r="E11" s="72"/>
      <c r="F11" s="125"/>
      <c r="G11" s="29" t="s">
        <v>72</v>
      </c>
      <c r="H11" s="126">
        <f>COUNTIFS(D:D,"=Crucial",F:F,"=Exception")</f>
        <v>0</v>
      </c>
      <c r="I11" s="127"/>
      <c r="J11" s="128"/>
      <c r="K11" s="127"/>
      <c r="L11" s="161"/>
    </row>
    <row r="12" spans="2:12" ht="30" hidden="1" customHeight="1" x14ac:dyDescent="0.3">
      <c r="B12" s="73"/>
      <c r="C12" s="73"/>
      <c r="D12" s="240"/>
      <c r="E12" s="62"/>
      <c r="F12" s="125"/>
      <c r="G12" s="34" t="s">
        <v>74</v>
      </c>
      <c r="H12" s="122">
        <f>COUNTIFS(D:D,"=Important",F:F,"=Select From Drop Down")</f>
        <v>0</v>
      </c>
      <c r="I12" s="127"/>
      <c r="J12" s="128"/>
      <c r="K12" s="127"/>
      <c r="L12" s="161"/>
    </row>
    <row r="13" spans="2:12" ht="30" hidden="1" customHeight="1" x14ac:dyDescent="0.3">
      <c r="B13" s="73"/>
      <c r="C13" s="73"/>
      <c r="D13" s="240"/>
      <c r="E13" s="62"/>
      <c r="F13" s="125"/>
      <c r="G13" s="34" t="s">
        <v>76</v>
      </c>
      <c r="H13" s="122">
        <f>COUNTIFS(D:D,"=Important",F:F,"=Function Available")</f>
        <v>0</v>
      </c>
      <c r="I13" s="127"/>
      <c r="J13" s="128"/>
      <c r="K13" s="127"/>
      <c r="L13" s="161"/>
    </row>
    <row r="14" spans="2:12" ht="30" hidden="1" customHeight="1" x14ac:dyDescent="0.3">
      <c r="B14" s="73"/>
      <c r="C14" s="73"/>
      <c r="D14" s="240"/>
      <c r="E14" s="62"/>
      <c r="F14" s="125"/>
      <c r="G14" s="29" t="s">
        <v>78</v>
      </c>
      <c r="H14" s="126">
        <f>COUNTIFS(D:D,"=Important",F:F,"=Function Not Available")</f>
        <v>0</v>
      </c>
      <c r="I14" s="127"/>
      <c r="J14" s="128"/>
      <c r="K14" s="127"/>
      <c r="L14" s="161"/>
    </row>
    <row r="15" spans="2:12" ht="30" hidden="1" customHeight="1" x14ac:dyDescent="0.3">
      <c r="B15" s="73"/>
      <c r="C15" s="73"/>
      <c r="D15" s="240"/>
      <c r="E15" s="62"/>
      <c r="F15" s="125"/>
      <c r="G15" s="29" t="s">
        <v>80</v>
      </c>
      <c r="H15" s="126">
        <f>COUNTIFS(D:D,"=Important",F:F,"=Exception")</f>
        <v>0</v>
      </c>
      <c r="I15" s="127"/>
      <c r="J15" s="128"/>
      <c r="K15" s="127"/>
      <c r="L15" s="161"/>
    </row>
    <row r="16" spans="2:12" ht="30" hidden="1" customHeight="1" x14ac:dyDescent="0.3">
      <c r="B16" s="73"/>
      <c r="C16" s="73"/>
      <c r="D16" s="240"/>
      <c r="E16" s="62"/>
      <c r="F16" s="125"/>
      <c r="G16" s="29" t="s">
        <v>82</v>
      </c>
      <c r="H16" s="126">
        <f>COUNTIFS(D:D,"=Minimal",F:F,"=Select From Drop Down")</f>
        <v>6</v>
      </c>
      <c r="I16" s="127"/>
      <c r="J16" s="128"/>
      <c r="K16" s="127"/>
      <c r="L16" s="161"/>
    </row>
    <row r="17" spans="2:12" ht="30" hidden="1" customHeight="1" x14ac:dyDescent="0.3">
      <c r="B17" s="73"/>
      <c r="C17" s="73"/>
      <c r="D17" s="240"/>
      <c r="E17" s="62"/>
      <c r="F17" s="125"/>
      <c r="G17" s="29" t="s">
        <v>84</v>
      </c>
      <c r="H17" s="126">
        <f>COUNTIFS(D:D,"=Minimal",F:F,"=Function Available")</f>
        <v>0</v>
      </c>
      <c r="I17" s="127"/>
      <c r="J17" s="128"/>
      <c r="K17" s="127"/>
      <c r="L17" s="161"/>
    </row>
    <row r="18" spans="2:12" ht="30" hidden="1" customHeight="1" x14ac:dyDescent="0.3">
      <c r="B18" s="73"/>
      <c r="C18" s="73"/>
      <c r="D18" s="240"/>
      <c r="E18" s="62"/>
      <c r="F18" s="125"/>
      <c r="G18" s="29" t="s">
        <v>86</v>
      </c>
      <c r="H18" s="126">
        <f>COUNTIFS(D:D,"=Minimal",F:F,"=Function Not Available")</f>
        <v>0</v>
      </c>
      <c r="I18" s="127"/>
      <c r="J18" s="128"/>
      <c r="K18" s="127"/>
      <c r="L18" s="161"/>
    </row>
    <row r="19" spans="2:12" ht="30" hidden="1" customHeight="1" x14ac:dyDescent="0.3">
      <c r="B19" s="73"/>
      <c r="C19" s="73"/>
      <c r="D19" s="240"/>
      <c r="E19" s="62"/>
      <c r="F19" s="125"/>
      <c r="G19" s="29" t="s">
        <v>88</v>
      </c>
      <c r="H19" s="126">
        <f>COUNTIFS(D:D,"=Minimal",F:F,"=Exception")</f>
        <v>0</v>
      </c>
      <c r="I19" s="127"/>
      <c r="J19" s="128"/>
      <c r="K19" s="127"/>
      <c r="L19" s="161"/>
    </row>
    <row r="20" spans="2:12" ht="9" customHeight="1" x14ac:dyDescent="0.3">
      <c r="F20" s="35"/>
      <c r="G20"/>
    </row>
    <row r="21" spans="2:12" ht="9" hidden="1" customHeight="1" x14ac:dyDescent="0.3"/>
    <row r="22" spans="2:12" ht="9" hidden="1" customHeight="1" x14ac:dyDescent="0.3"/>
    <row r="23" spans="2:12" ht="9" hidden="1" customHeight="1" x14ac:dyDescent="0.3"/>
    <row r="24" spans="2:12" ht="9" hidden="1" customHeight="1" x14ac:dyDescent="0.3"/>
    <row r="25" spans="2:12" ht="9" hidden="1" customHeight="1" x14ac:dyDescent="0.3"/>
    <row r="26" spans="2:12" ht="9" hidden="1" customHeight="1" x14ac:dyDescent="0.3"/>
    <row r="27" spans="2:12" ht="9" hidden="1" customHeight="1" x14ac:dyDescent="0.3"/>
    <row r="28" spans="2:12" ht="9" hidden="1" customHeight="1" x14ac:dyDescent="0.3"/>
    <row r="29" spans="2:12" ht="9" hidden="1" customHeight="1" x14ac:dyDescent="0.3"/>
    <row r="30" spans="2:12" ht="9" hidden="1" customHeight="1" x14ac:dyDescent="0.3"/>
    <row r="31" spans="2:12" ht="9" hidden="1" customHeight="1" x14ac:dyDescent="0.3"/>
    <row r="32" spans="2:12" ht="9" hidden="1" customHeight="1" x14ac:dyDescent="0.3"/>
    <row r="33" ht="9" hidden="1" customHeight="1" x14ac:dyDescent="0.3"/>
    <row r="34" ht="9" hidden="1" customHeight="1" x14ac:dyDescent="0.3"/>
    <row r="35" ht="9" hidden="1" customHeight="1" x14ac:dyDescent="0.3"/>
    <row r="36" ht="9" hidden="1" customHeight="1" x14ac:dyDescent="0.3"/>
    <row r="37" ht="9" hidden="1" customHeight="1" x14ac:dyDescent="0.3"/>
    <row r="38" ht="9" hidden="1" customHeight="1" x14ac:dyDescent="0.3"/>
    <row r="39" ht="9" hidden="1" customHeight="1" x14ac:dyDescent="0.3"/>
    <row r="40" ht="9" hidden="1" customHeight="1" x14ac:dyDescent="0.3"/>
    <row r="41" ht="9" hidden="1" customHeight="1" x14ac:dyDescent="0.3"/>
    <row r="42" ht="9" hidden="1" customHeight="1" x14ac:dyDescent="0.3"/>
  </sheetData>
  <sheetProtection algorithmName="SHA-512" hashValue="nbMD7B9b3SMsvKbDMZuCQT9M2anAch5rpf0QJ2R6hCH8Tcr7i4rYy85qi94kdN37PQX4I9sXd3Mueoe/oq2H6Q==" saltValue="SqFsHp/jmTf+1SAuAFEmjg==" spinCount="100000" sheet="1" selectLockedCells="1"/>
  <conditionalFormatting sqref="D4:D19">
    <cfRule type="cellIs" dxfId="125" priority="10" operator="equal">
      <formula>"Important"</formula>
    </cfRule>
    <cfRule type="cellIs" dxfId="124" priority="11" operator="equal">
      <formula>"Crucial"</formula>
    </cfRule>
    <cfRule type="cellIs" dxfId="123" priority="12" operator="equal">
      <formula>"N/A"</formula>
    </cfRule>
  </conditionalFormatting>
  <conditionalFormatting sqref="F4:F19">
    <cfRule type="cellIs" dxfId="122" priority="1" operator="equal">
      <formula>"Function Not Available"</formula>
    </cfRule>
    <cfRule type="cellIs" dxfId="121" priority="2" operator="equal">
      <formula>"Function Available"</formula>
    </cfRule>
    <cfRule type="cellIs" dxfId="120"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9" xr:uid="{00000000-0002-0000-1600-000000000000}">
      <formula1>AvailabilityType</formula1>
    </dataValidation>
    <dataValidation type="list" allowBlank="1" showInputMessage="1" showErrorMessage="1" sqref="D4:D9" xr:uid="{00000000-0002-0000-1600-000001000000}">
      <formula1>SpecType</formula1>
    </dataValidation>
    <dataValidation type="list" allowBlank="1" showInputMessage="1" showErrorMessage="1" sqref="F4:F5" xr:uid="{00000000-0002-0000-16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rgb="FFFFCC00"/>
  </sheetPr>
  <dimension ref="A1:M22"/>
  <sheetViews>
    <sheetView showGridLines="0" zoomScale="90" zoomScaleNormal="90" zoomScalePageLayoutView="40" workbookViewId="0">
      <selection activeCell="F4" sqref="F4"/>
    </sheetView>
  </sheetViews>
  <sheetFormatPr defaultColWidth="0" defaultRowHeight="14.4" zeroHeight="1" x14ac:dyDescent="0.3"/>
  <cols>
    <col min="1" max="1" width="1.441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4.95" customHeight="1" x14ac:dyDescent="0.3"/>
    <row r="2" spans="2:12" s="158" customFormat="1" ht="129" customHeight="1" thickBot="1" x14ac:dyDescent="0.3">
      <c r="B2" s="96" t="s">
        <v>44</v>
      </c>
      <c r="C2" s="97" t="s">
        <v>45</v>
      </c>
      <c r="D2" s="97" t="s">
        <v>46</v>
      </c>
      <c r="E2" s="97" t="s">
        <v>786</v>
      </c>
      <c r="F2" s="97" t="s">
        <v>42</v>
      </c>
      <c r="G2" s="98" t="s">
        <v>48</v>
      </c>
      <c r="H2" s="98" t="s">
        <v>49</v>
      </c>
      <c r="I2" s="99" t="s">
        <v>50</v>
      </c>
      <c r="J2" s="99" t="s">
        <v>51</v>
      </c>
      <c r="K2" s="100" t="s">
        <v>14</v>
      </c>
      <c r="L2" s="101" t="s">
        <v>52</v>
      </c>
    </row>
    <row r="3" spans="2:12" ht="16.2" thickBot="1" x14ac:dyDescent="0.35">
      <c r="B3" s="8" t="s">
        <v>787</v>
      </c>
      <c r="C3" s="8"/>
      <c r="D3" s="8"/>
      <c r="E3" s="8"/>
      <c r="F3" s="8"/>
      <c r="G3" s="34" t="s">
        <v>54</v>
      </c>
      <c r="H3" s="7">
        <f>COUNTA(D4:D501)</f>
        <v>18</v>
      </c>
      <c r="I3" s="24"/>
      <c r="J3" s="25" t="s">
        <v>55</v>
      </c>
      <c r="K3" s="26">
        <f t="shared" ref="K3" si="0">SUM(K4:K501)</f>
        <v>0</v>
      </c>
      <c r="L3" s="8"/>
    </row>
    <row r="4" spans="2:12" ht="30" customHeight="1" x14ac:dyDescent="0.3">
      <c r="B4" s="37" t="s">
        <v>788</v>
      </c>
      <c r="C4" s="2">
        <v>1</v>
      </c>
      <c r="D4" s="159" t="s">
        <v>10</v>
      </c>
      <c r="E4" s="163" t="s">
        <v>789</v>
      </c>
      <c r="F4" s="176" t="s">
        <v>43</v>
      </c>
      <c r="G4" s="177" t="s">
        <v>58</v>
      </c>
      <c r="H4" s="178">
        <f>COUNTIF(F4:F501,"Select from Drop Down")</f>
        <v>18</v>
      </c>
      <c r="I4" s="179">
        <f>VLOOKUP($D4,SpecData,2,FALSE)</f>
        <v>2</v>
      </c>
      <c r="J4" s="180">
        <f>VLOOKUP($F4,AvailabilityData,2,FALSE)</f>
        <v>0</v>
      </c>
      <c r="K4" s="181">
        <f>I4*J4</f>
        <v>0</v>
      </c>
      <c r="L4" s="38"/>
    </row>
    <row r="5" spans="2:12" ht="30" customHeight="1" x14ac:dyDescent="0.3">
      <c r="B5" s="37" t="str">
        <f>IF(C5="","",$B$4)</f>
        <v>Ngen</v>
      </c>
      <c r="C5" s="2">
        <v>2</v>
      </c>
      <c r="D5" s="159" t="s">
        <v>10</v>
      </c>
      <c r="E5" s="163" t="s">
        <v>790</v>
      </c>
      <c r="F5" s="176" t="s">
        <v>43</v>
      </c>
      <c r="G5" s="177" t="s">
        <v>60</v>
      </c>
      <c r="H5" s="178">
        <f>COUNTIF(F4:F501,"Function Available")</f>
        <v>0</v>
      </c>
      <c r="I5" s="179">
        <f>VLOOKUP($D5,SpecData,2,FALSE)</f>
        <v>2</v>
      </c>
      <c r="J5" s="180">
        <f>VLOOKUP($F5,AvailabilityData,2,FALSE)</f>
        <v>0</v>
      </c>
      <c r="K5" s="181">
        <f t="shared" ref="K5:K20" si="1">I5*J5</f>
        <v>0</v>
      </c>
      <c r="L5" s="38"/>
    </row>
    <row r="6" spans="2:12" ht="30" customHeight="1" x14ac:dyDescent="0.3">
      <c r="B6" s="37" t="str">
        <f t="shared" ref="B6:B21" si="2">IF(C6="","",$B$4)</f>
        <v>Ngen</v>
      </c>
      <c r="C6" s="2">
        <v>3</v>
      </c>
      <c r="D6" s="159" t="s">
        <v>10</v>
      </c>
      <c r="E6" s="163" t="s">
        <v>791</v>
      </c>
      <c r="F6" s="176" t="s">
        <v>43</v>
      </c>
      <c r="G6" s="177" t="s">
        <v>62</v>
      </c>
      <c r="H6" s="184">
        <f>COUNTIF(F4:F501,"Function Not Available")</f>
        <v>0</v>
      </c>
      <c r="I6" s="179">
        <f t="shared" ref="I6:I12" si="3">VLOOKUP($D6,SpecData,2,FALSE)</f>
        <v>2</v>
      </c>
      <c r="J6" s="180">
        <f t="shared" ref="J6:J12" si="4">VLOOKUP($F6,AvailabilityData,2,FALSE)</f>
        <v>0</v>
      </c>
      <c r="K6" s="181">
        <f t="shared" si="1"/>
        <v>0</v>
      </c>
      <c r="L6" s="38"/>
    </row>
    <row r="7" spans="2:12" ht="30" customHeight="1" x14ac:dyDescent="0.3">
      <c r="B7" s="37" t="str">
        <f t="shared" si="2"/>
        <v>Ngen</v>
      </c>
      <c r="C7" s="2">
        <f>IF(ISTEXT(D7),MAX($C$6:$C6)+1,"")</f>
        <v>4</v>
      </c>
      <c r="D7" s="159" t="s">
        <v>10</v>
      </c>
      <c r="E7" s="163" t="s">
        <v>792</v>
      </c>
      <c r="F7" s="176" t="s">
        <v>43</v>
      </c>
      <c r="G7" s="177" t="s">
        <v>64</v>
      </c>
      <c r="H7" s="184">
        <f>COUNTIF(F4:F501,"Exception")</f>
        <v>0</v>
      </c>
      <c r="I7" s="179">
        <f t="shared" si="3"/>
        <v>2</v>
      </c>
      <c r="J7" s="180">
        <f t="shared" si="4"/>
        <v>0</v>
      </c>
      <c r="K7" s="181">
        <f t="shared" si="1"/>
        <v>0</v>
      </c>
      <c r="L7" s="38"/>
    </row>
    <row r="8" spans="2:12" ht="30" customHeight="1" x14ac:dyDescent="0.3">
      <c r="B8" s="37" t="str">
        <f t="shared" si="2"/>
        <v>Ngen</v>
      </c>
      <c r="C8" s="2">
        <f>IF(ISTEXT(D8),MAX($C$6:$C7)+1,"")</f>
        <v>5</v>
      </c>
      <c r="D8" s="159" t="s">
        <v>11</v>
      </c>
      <c r="E8" s="163" t="s">
        <v>793</v>
      </c>
      <c r="F8" s="176" t="s">
        <v>43</v>
      </c>
      <c r="G8" s="177" t="s">
        <v>66</v>
      </c>
      <c r="H8" s="185">
        <f>COUNTIFS(D:D,"=Crucial",F:F,"=Select From Drop Down")</f>
        <v>0</v>
      </c>
      <c r="I8" s="179">
        <f t="shared" si="3"/>
        <v>1</v>
      </c>
      <c r="J8" s="180">
        <f t="shared" si="4"/>
        <v>0</v>
      </c>
      <c r="K8" s="181">
        <f t="shared" si="1"/>
        <v>0</v>
      </c>
      <c r="L8" s="38"/>
    </row>
    <row r="9" spans="2:12" ht="30" customHeight="1" x14ac:dyDescent="0.3">
      <c r="B9" s="37" t="str">
        <f t="shared" si="2"/>
        <v>Ngen</v>
      </c>
      <c r="C9" s="2">
        <f>IF(ISTEXT(D9),MAX($C$6:$C8)+1,"")</f>
        <v>6</v>
      </c>
      <c r="D9" s="159" t="s">
        <v>11</v>
      </c>
      <c r="E9" s="163" t="s">
        <v>794</v>
      </c>
      <c r="F9" s="176" t="s">
        <v>43</v>
      </c>
      <c r="G9" s="177" t="s">
        <v>68</v>
      </c>
      <c r="H9" s="185">
        <f>COUNTIFS(D:D,"=Crucial",F:F,"=Function Available")</f>
        <v>0</v>
      </c>
      <c r="I9" s="179">
        <f t="shared" si="3"/>
        <v>1</v>
      </c>
      <c r="J9" s="180">
        <f t="shared" si="4"/>
        <v>0</v>
      </c>
      <c r="K9" s="181">
        <f t="shared" si="1"/>
        <v>0</v>
      </c>
      <c r="L9" s="38"/>
    </row>
    <row r="10" spans="2:12" ht="41.7" customHeight="1" x14ac:dyDescent="0.3">
      <c r="B10" s="37" t="str">
        <f t="shared" si="2"/>
        <v>Ngen</v>
      </c>
      <c r="C10" s="2">
        <f>IF(ISTEXT(D10),MAX($C$6:$C9)+1,"")</f>
        <v>7</v>
      </c>
      <c r="D10" s="159" t="s">
        <v>11</v>
      </c>
      <c r="E10" s="163" t="s">
        <v>795</v>
      </c>
      <c r="F10" s="176" t="s">
        <v>43</v>
      </c>
      <c r="G10" s="177" t="s">
        <v>70</v>
      </c>
      <c r="H10" s="185">
        <f>COUNTIFS(D:D,"=Crucial",F:F,"=Function Not Available")</f>
        <v>0</v>
      </c>
      <c r="I10" s="179">
        <f t="shared" si="3"/>
        <v>1</v>
      </c>
      <c r="J10" s="180">
        <f t="shared" si="4"/>
        <v>0</v>
      </c>
      <c r="K10" s="181">
        <f t="shared" si="1"/>
        <v>0</v>
      </c>
      <c r="L10" s="38"/>
    </row>
    <row r="11" spans="2:12" ht="30" customHeight="1" x14ac:dyDescent="0.3">
      <c r="B11" s="37" t="str">
        <f t="shared" si="2"/>
        <v>Ngen</v>
      </c>
      <c r="C11" s="2">
        <f>IF(ISTEXT(D11),MAX($C$6:$C10)+1,"")</f>
        <v>8</v>
      </c>
      <c r="D11" s="159" t="s">
        <v>11</v>
      </c>
      <c r="E11" s="163" t="s">
        <v>796</v>
      </c>
      <c r="F11" s="176" t="s">
        <v>43</v>
      </c>
      <c r="G11" s="192" t="s">
        <v>72</v>
      </c>
      <c r="H11" s="221">
        <f>COUNTIFS(D:D,"=Crucial",F:F,"=Exception")</f>
        <v>0</v>
      </c>
      <c r="I11" s="222">
        <f t="shared" si="3"/>
        <v>1</v>
      </c>
      <c r="J11" s="223">
        <f t="shared" si="4"/>
        <v>0</v>
      </c>
      <c r="K11" s="181">
        <f t="shared" si="1"/>
        <v>0</v>
      </c>
      <c r="L11" s="41"/>
    </row>
    <row r="12" spans="2:12" ht="30" customHeight="1" x14ac:dyDescent="0.3">
      <c r="B12" s="37" t="str">
        <f t="shared" si="2"/>
        <v>Ngen</v>
      </c>
      <c r="C12" s="2">
        <f>IF(ISTEXT(D12),MAX($C$6:$C11)+1,"")</f>
        <v>9</v>
      </c>
      <c r="D12" s="159" t="s">
        <v>10</v>
      </c>
      <c r="E12" s="163" t="s">
        <v>797</v>
      </c>
      <c r="F12" s="176" t="s">
        <v>43</v>
      </c>
      <c r="G12" s="177" t="s">
        <v>74</v>
      </c>
      <c r="H12" s="185">
        <f>COUNTIFS(D:D,"=Important",F:F,"=Select From Drop Down")</f>
        <v>9</v>
      </c>
      <c r="I12" s="188">
        <f t="shared" si="3"/>
        <v>2</v>
      </c>
      <c r="J12" s="189">
        <f t="shared" si="4"/>
        <v>0</v>
      </c>
      <c r="K12" s="181">
        <f t="shared" si="1"/>
        <v>0</v>
      </c>
      <c r="L12" s="38"/>
    </row>
    <row r="13" spans="2:12" ht="30" customHeight="1" x14ac:dyDescent="0.3">
      <c r="B13" s="37" t="str">
        <f t="shared" si="2"/>
        <v>Ngen</v>
      </c>
      <c r="C13" s="2">
        <f>IF(ISTEXT(D13),MAX($C$6:$C12)+1,"")</f>
        <v>10</v>
      </c>
      <c r="D13" s="159" t="s">
        <v>11</v>
      </c>
      <c r="E13" s="163" t="s">
        <v>798</v>
      </c>
      <c r="F13" s="176" t="s">
        <v>43</v>
      </c>
      <c r="G13" s="177" t="s">
        <v>76</v>
      </c>
      <c r="H13" s="185">
        <f>COUNTIFS(D:D,"=Important",F:F,"=Function Available")</f>
        <v>0</v>
      </c>
      <c r="I13" s="188">
        <f t="shared" ref="I13:I21" si="5">VLOOKUP($D13,SpecData,2,FALSE)</f>
        <v>1</v>
      </c>
      <c r="J13" s="189">
        <f t="shared" ref="J13:J21" si="6">VLOOKUP($F13,AvailabilityData,2,FALSE)</f>
        <v>0</v>
      </c>
      <c r="K13" s="181">
        <f t="shared" si="1"/>
        <v>0</v>
      </c>
      <c r="L13" s="38"/>
    </row>
    <row r="14" spans="2:12" ht="30" customHeight="1" x14ac:dyDescent="0.3">
      <c r="B14" s="37" t="str">
        <f t="shared" si="2"/>
        <v>Ngen</v>
      </c>
      <c r="C14" s="2">
        <f>IF(ISTEXT(D14),MAX($C$6:$C13)+1,"")</f>
        <v>11</v>
      </c>
      <c r="D14" s="159" t="s">
        <v>10</v>
      </c>
      <c r="E14" s="163" t="s">
        <v>799</v>
      </c>
      <c r="F14" s="176" t="s">
        <v>43</v>
      </c>
      <c r="G14" s="177" t="s">
        <v>78</v>
      </c>
      <c r="H14" s="185">
        <f>COUNTIFS(D:D,"=Important",F:F,"=Function Not Available")</f>
        <v>0</v>
      </c>
      <c r="I14" s="188">
        <f t="shared" si="5"/>
        <v>2</v>
      </c>
      <c r="J14" s="189">
        <f t="shared" si="6"/>
        <v>0</v>
      </c>
      <c r="K14" s="181">
        <f t="shared" si="1"/>
        <v>0</v>
      </c>
      <c r="L14" s="38"/>
    </row>
    <row r="15" spans="2:12" ht="30" customHeight="1" x14ac:dyDescent="0.3">
      <c r="B15" s="37" t="str">
        <f t="shared" si="2"/>
        <v>Ngen</v>
      </c>
      <c r="C15" s="2">
        <f>IF(ISTEXT(D15),MAX($C$6:$C14)+1,"")</f>
        <v>12</v>
      </c>
      <c r="D15" s="159" t="s">
        <v>10</v>
      </c>
      <c r="E15" s="163" t="s">
        <v>800</v>
      </c>
      <c r="F15" s="176" t="s">
        <v>43</v>
      </c>
      <c r="G15" s="177" t="s">
        <v>80</v>
      </c>
      <c r="H15" s="185">
        <f>COUNTIFS(D:D,"=Important",F:F,"=Exception")</f>
        <v>0</v>
      </c>
      <c r="I15" s="188">
        <f t="shared" si="5"/>
        <v>2</v>
      </c>
      <c r="J15" s="189">
        <f t="shared" si="6"/>
        <v>0</v>
      </c>
      <c r="K15" s="181">
        <f t="shared" si="1"/>
        <v>0</v>
      </c>
      <c r="L15" s="38"/>
    </row>
    <row r="16" spans="2:12" ht="30" customHeight="1" x14ac:dyDescent="0.3">
      <c r="B16" s="37" t="str">
        <f t="shared" si="2"/>
        <v>Ngen</v>
      </c>
      <c r="C16" s="2">
        <f>IF(ISTEXT(D16),MAX($C$6:$C15)+1,"")</f>
        <v>13</v>
      </c>
      <c r="D16" s="159" t="s">
        <v>11</v>
      </c>
      <c r="E16" s="163" t="s">
        <v>801</v>
      </c>
      <c r="F16" s="176" t="s">
        <v>43</v>
      </c>
      <c r="G16" s="177" t="s">
        <v>82</v>
      </c>
      <c r="H16" s="185">
        <f>COUNTIFS(D:D,"=Minimal",F:F,"=Select From Drop Down")</f>
        <v>9</v>
      </c>
      <c r="I16" s="188">
        <f t="shared" si="5"/>
        <v>1</v>
      </c>
      <c r="J16" s="189">
        <f t="shared" si="6"/>
        <v>0</v>
      </c>
      <c r="K16" s="181">
        <f t="shared" si="1"/>
        <v>0</v>
      </c>
      <c r="L16" s="38"/>
    </row>
    <row r="17" spans="2:12" ht="40.5" customHeight="1" x14ac:dyDescent="0.3">
      <c r="B17" s="37" t="str">
        <f t="shared" si="2"/>
        <v>Ngen</v>
      </c>
      <c r="C17" s="2">
        <f>IF(ISTEXT(D17),MAX($C$6:$C16)+1,"")</f>
        <v>14</v>
      </c>
      <c r="D17" s="159" t="s">
        <v>11</v>
      </c>
      <c r="E17" s="163" t="s">
        <v>802</v>
      </c>
      <c r="F17" s="176" t="s">
        <v>43</v>
      </c>
      <c r="G17" s="177" t="s">
        <v>84</v>
      </c>
      <c r="H17" s="185">
        <f>COUNTIFS(D:D,"=Minimal",F:F,"=Function Available")</f>
        <v>0</v>
      </c>
      <c r="I17" s="188">
        <f t="shared" si="5"/>
        <v>1</v>
      </c>
      <c r="J17" s="189">
        <f t="shared" si="6"/>
        <v>0</v>
      </c>
      <c r="K17" s="181">
        <f t="shared" si="1"/>
        <v>0</v>
      </c>
      <c r="L17" s="38"/>
    </row>
    <row r="18" spans="2:12" ht="30" customHeight="1" x14ac:dyDescent="0.3">
      <c r="B18" s="37" t="str">
        <f t="shared" si="2"/>
        <v>Ngen</v>
      </c>
      <c r="C18" s="2">
        <f>IF(ISTEXT(D18),MAX($C$6:$C17)+1,"")</f>
        <v>15</v>
      </c>
      <c r="D18" s="159" t="s">
        <v>11</v>
      </c>
      <c r="E18" s="163" t="s">
        <v>803</v>
      </c>
      <c r="F18" s="176" t="s">
        <v>43</v>
      </c>
      <c r="G18" s="177" t="s">
        <v>86</v>
      </c>
      <c r="H18" s="185">
        <f>COUNTIFS(D:D,"=Minimal",F:F,"=Function Not Available")</f>
        <v>0</v>
      </c>
      <c r="I18" s="188">
        <f t="shared" si="5"/>
        <v>1</v>
      </c>
      <c r="J18" s="189">
        <f t="shared" si="6"/>
        <v>0</v>
      </c>
      <c r="K18" s="181">
        <f t="shared" si="1"/>
        <v>0</v>
      </c>
      <c r="L18" s="38"/>
    </row>
    <row r="19" spans="2:12" ht="30" customHeight="1" x14ac:dyDescent="0.3">
      <c r="B19" s="37" t="str">
        <f t="shared" si="2"/>
        <v>Ngen</v>
      </c>
      <c r="C19" s="2">
        <f>IF(ISTEXT(D19),MAX($C$6:$C18)+1,"")</f>
        <v>16</v>
      </c>
      <c r="D19" s="159" t="s">
        <v>10</v>
      </c>
      <c r="E19" s="163" t="s">
        <v>804</v>
      </c>
      <c r="F19" s="176" t="s">
        <v>43</v>
      </c>
      <c r="G19" s="177" t="s">
        <v>88</v>
      </c>
      <c r="H19" s="185">
        <f>COUNTIFS(D:D,"=Minimal",F:F,"=Exception")</f>
        <v>0</v>
      </c>
      <c r="I19" s="188">
        <f t="shared" si="5"/>
        <v>2</v>
      </c>
      <c r="J19" s="189">
        <f t="shared" si="6"/>
        <v>0</v>
      </c>
      <c r="K19" s="181">
        <f t="shared" si="1"/>
        <v>0</v>
      </c>
      <c r="L19" s="38"/>
    </row>
    <row r="20" spans="2:12" ht="30" customHeight="1" x14ac:dyDescent="0.3">
      <c r="B20" s="37" t="str">
        <f t="shared" si="2"/>
        <v>Ngen</v>
      </c>
      <c r="C20" s="2">
        <f>IF(ISTEXT(D20),MAX($C$6:$C19)+1,"")</f>
        <v>17</v>
      </c>
      <c r="D20" s="159" t="s">
        <v>10</v>
      </c>
      <c r="E20" s="163" t="s">
        <v>805</v>
      </c>
      <c r="F20" s="176" t="s">
        <v>43</v>
      </c>
      <c r="G20" s="177"/>
      <c r="H20" s="184"/>
      <c r="I20" s="188">
        <f t="shared" si="5"/>
        <v>2</v>
      </c>
      <c r="J20" s="189">
        <f t="shared" si="6"/>
        <v>0</v>
      </c>
      <c r="K20" s="181">
        <f t="shared" si="1"/>
        <v>0</v>
      </c>
      <c r="L20" s="38"/>
    </row>
    <row r="21" spans="2:12" ht="30" customHeight="1" x14ac:dyDescent="0.3">
      <c r="B21" s="164" t="str">
        <f t="shared" si="2"/>
        <v>Ngen</v>
      </c>
      <c r="C21" s="165">
        <f>IF(ISTEXT(D21),MAX($C$6:$C20)+1,"")</f>
        <v>18</v>
      </c>
      <c r="D21" s="159" t="s">
        <v>11</v>
      </c>
      <c r="E21" s="235" t="s">
        <v>806</v>
      </c>
      <c r="F21" s="176" t="s">
        <v>43</v>
      </c>
      <c r="G21" s="192"/>
      <c r="H21" s="193"/>
      <c r="I21" s="190">
        <f t="shared" si="5"/>
        <v>1</v>
      </c>
      <c r="J21" s="191">
        <f t="shared" si="6"/>
        <v>0</v>
      </c>
      <c r="K21" s="181">
        <f>I21*J21</f>
        <v>0</v>
      </c>
      <c r="L21" s="39"/>
    </row>
    <row r="22" spans="2:12" ht="10.5" customHeight="1" x14ac:dyDescent="0.3"/>
  </sheetData>
  <sheetProtection algorithmName="SHA-512" hashValue="a5aRqMok8deFErYroAfcTvDOJ6/tflVKfNVSv0uTgBDauwr4Em6qJ3egAHlxFLjswrF1/NOJp+T+xWLNHA+Tyw==" saltValue="aP0F0EU7ddDTjWVkxWltKw==" spinCount="100000" sheet="1" selectLockedCells="1"/>
  <conditionalFormatting sqref="D4:D21">
    <cfRule type="cellIs" dxfId="119" priority="1" operator="equal">
      <formula>"Important"</formula>
    </cfRule>
    <cfRule type="cellIs" dxfId="118" priority="2" operator="equal">
      <formula>"Crucial"</formula>
    </cfRule>
    <cfRule type="cellIs" dxfId="117" priority="3" operator="equal">
      <formula>"N/A"</formula>
    </cfRule>
  </conditionalFormatting>
  <conditionalFormatting sqref="F4:F21">
    <cfRule type="cellIs" dxfId="116" priority="7" operator="equal">
      <formula>"Function Not Available"</formula>
    </cfRule>
    <cfRule type="cellIs" dxfId="115" priority="8" operator="equal">
      <formula>"Function Available"</formula>
    </cfRule>
    <cfRule type="cellIs" dxfId="114" priority="9" operator="equal">
      <formula>"Exception"</formula>
    </cfRule>
  </conditionalFormatting>
  <dataValidations count="3">
    <dataValidation type="list" allowBlank="1" showInputMessage="1" showErrorMessage="1" sqref="F4:F5" xr:uid="{00000000-0002-0000-1700-000000000000}">
      <formula1>AvailabilityType</formula1>
    </dataValidation>
    <dataValidation type="list" allowBlank="1" showInputMessage="1" showErrorMessage="1" errorTitle="Invalid specification type" error="Please enter a Specification type from the drop-down list." sqref="D4:D21" xr:uid="{C182976B-F261-41E3-A2C6-24DB0A9AA4BE}">
      <formula1>SpecType</formula1>
    </dataValidation>
    <dataValidation type="list" allowBlank="1" showInputMessage="1" showErrorMessage="1" errorTitle="Invalid specification type" error="Please enter a Specification type from the drop-down list." sqref="F6:F21" xr:uid="{00000000-0002-0000-17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00"/>
  </sheetPr>
  <dimension ref="A1:M20"/>
  <sheetViews>
    <sheetView showGridLines="0" zoomScale="90" zoomScaleNormal="9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6.6" customHeight="1" thickBot="1" x14ac:dyDescent="0.35"/>
    <row r="2" spans="2:12" ht="129" customHeight="1" thickBot="1" x14ac:dyDescent="0.35">
      <c r="B2" s="102" t="s">
        <v>44</v>
      </c>
      <c r="C2" s="102" t="s">
        <v>45</v>
      </c>
      <c r="D2" s="102" t="s">
        <v>46</v>
      </c>
      <c r="E2" s="102" t="s">
        <v>807</v>
      </c>
      <c r="F2" s="102" t="s">
        <v>42</v>
      </c>
      <c r="G2" s="103" t="s">
        <v>48</v>
      </c>
      <c r="H2" s="103" t="s">
        <v>49</v>
      </c>
      <c r="I2" s="104" t="s">
        <v>50</v>
      </c>
      <c r="J2" s="104" t="s">
        <v>51</v>
      </c>
      <c r="K2" s="105" t="s">
        <v>14</v>
      </c>
      <c r="L2" s="106" t="s">
        <v>52</v>
      </c>
    </row>
    <row r="3" spans="2:12" ht="16.2" thickBot="1" x14ac:dyDescent="0.35">
      <c r="B3" s="45" t="s">
        <v>808</v>
      </c>
      <c r="C3" s="8"/>
      <c r="D3" s="8"/>
      <c r="E3" s="8"/>
      <c r="F3" s="8"/>
      <c r="G3" s="34" t="s">
        <v>54</v>
      </c>
      <c r="H3" s="7">
        <f>COUNTA(D4:D478)</f>
        <v>12</v>
      </c>
      <c r="I3" s="24"/>
      <c r="J3" s="25" t="s">
        <v>55</v>
      </c>
      <c r="K3" s="26">
        <f t="shared" ref="K3" si="0">SUM(K4:K478)</f>
        <v>0</v>
      </c>
      <c r="L3" s="46"/>
    </row>
    <row r="4" spans="2:12" ht="41.4" x14ac:dyDescent="0.3">
      <c r="B4" s="48" t="s">
        <v>809</v>
      </c>
      <c r="C4" s="2">
        <v>1</v>
      </c>
      <c r="D4" s="159" t="s">
        <v>11</v>
      </c>
      <c r="E4" s="66" t="s">
        <v>810</v>
      </c>
      <c r="F4" s="176" t="s">
        <v>43</v>
      </c>
      <c r="G4" s="177" t="s">
        <v>58</v>
      </c>
      <c r="H4" s="178">
        <f>COUNTIF(F4:F478,"Select from Drop Down")</f>
        <v>12</v>
      </c>
      <c r="I4" s="179">
        <f>VLOOKUP($D4,SpecData,2,FALSE)</f>
        <v>1</v>
      </c>
      <c r="J4" s="180">
        <f>VLOOKUP($F4,AvailabilityData,2,FALSE)</f>
        <v>0</v>
      </c>
      <c r="K4" s="181">
        <f>I4*J4</f>
        <v>0</v>
      </c>
      <c r="L4" s="47"/>
    </row>
    <row r="5" spans="2:12" ht="30" customHeight="1" x14ac:dyDescent="0.3">
      <c r="B5" s="48" t="str">
        <f>IF(C5="","",$B$4)</f>
        <v>IMC</v>
      </c>
      <c r="C5" s="2">
        <f>IF(ISTEXT(D5),MAX($C$4:$C4)+1,"")</f>
        <v>2</v>
      </c>
      <c r="D5" s="159" t="s">
        <v>11</v>
      </c>
      <c r="E5" s="60" t="s">
        <v>811</v>
      </c>
      <c r="F5" s="176" t="s">
        <v>43</v>
      </c>
      <c r="G5" s="177" t="s">
        <v>60</v>
      </c>
      <c r="H5" s="178">
        <f>COUNTIF(F4:F478,"Function Available")</f>
        <v>0</v>
      </c>
      <c r="I5" s="179">
        <f>VLOOKUP($D5,SpecData,2,FALSE)</f>
        <v>1</v>
      </c>
      <c r="J5" s="180">
        <f>VLOOKUP($F5,AvailabilityData,2,FALSE)</f>
        <v>0</v>
      </c>
      <c r="K5" s="181">
        <f t="shared" ref="K5:K15" si="1">I5*J5</f>
        <v>0</v>
      </c>
      <c r="L5" s="47"/>
    </row>
    <row r="6" spans="2:12" ht="30" customHeight="1" x14ac:dyDescent="0.3">
      <c r="B6" s="48" t="str">
        <f>IF(C6="","",$B$4)</f>
        <v>IMC</v>
      </c>
      <c r="C6" s="2">
        <f>IF(ISTEXT(D6),MAX($C$4:$C5)+1,"")</f>
        <v>3</v>
      </c>
      <c r="D6" s="159" t="s">
        <v>11</v>
      </c>
      <c r="E6" s="60" t="s">
        <v>812</v>
      </c>
      <c r="F6" s="176" t="s">
        <v>43</v>
      </c>
      <c r="G6" s="177" t="s">
        <v>62</v>
      </c>
      <c r="H6" s="184">
        <f>COUNTIF(F4:F478,"Function Not Available")</f>
        <v>0</v>
      </c>
      <c r="I6" s="179">
        <f t="shared" ref="I6:I15" si="2">VLOOKUP($D6,SpecData,2,FALSE)</f>
        <v>1</v>
      </c>
      <c r="J6" s="180">
        <f t="shared" ref="J6:J15" si="3">VLOOKUP($F6,AvailabilityData,2,FALSE)</f>
        <v>0</v>
      </c>
      <c r="K6" s="181">
        <f t="shared" si="1"/>
        <v>0</v>
      </c>
      <c r="L6" s="47"/>
    </row>
    <row r="7" spans="2:12" ht="30" customHeight="1" x14ac:dyDescent="0.3">
      <c r="B7" s="48" t="str">
        <f t="shared" ref="B7:B15" si="4">IF(C7="","",$B$4)</f>
        <v>IMC</v>
      </c>
      <c r="C7" s="2">
        <f>IF(ISTEXT(D7),MAX($C$4:$C6)+1,"")</f>
        <v>4</v>
      </c>
      <c r="D7" s="159" t="s">
        <v>11</v>
      </c>
      <c r="E7" s="60" t="s">
        <v>813</v>
      </c>
      <c r="F7" s="176" t="s">
        <v>43</v>
      </c>
      <c r="G7" s="177" t="s">
        <v>64</v>
      </c>
      <c r="H7" s="184">
        <f>COUNTIF(F4:F478,"Exception")</f>
        <v>0</v>
      </c>
      <c r="I7" s="179">
        <f t="shared" si="2"/>
        <v>1</v>
      </c>
      <c r="J7" s="180">
        <f t="shared" si="3"/>
        <v>0</v>
      </c>
      <c r="K7" s="181">
        <f t="shared" si="1"/>
        <v>0</v>
      </c>
      <c r="L7" s="47"/>
    </row>
    <row r="8" spans="2:12" ht="30" customHeight="1" x14ac:dyDescent="0.3">
      <c r="B8" s="48" t="str">
        <f t="shared" si="4"/>
        <v>IMC</v>
      </c>
      <c r="C8" s="2">
        <f>IF(ISTEXT(D8),MAX($C$4:$C7)+1,"")</f>
        <v>5</v>
      </c>
      <c r="D8" s="159" t="s">
        <v>11</v>
      </c>
      <c r="E8" s="60" t="s">
        <v>814</v>
      </c>
      <c r="F8" s="176" t="s">
        <v>43</v>
      </c>
      <c r="G8" s="177" t="s">
        <v>66</v>
      </c>
      <c r="H8" s="185">
        <f>COUNTIFS(D:D,"=Crucial",F:F,"=Select From Drop Down")</f>
        <v>0</v>
      </c>
      <c r="I8" s="179">
        <f t="shared" si="2"/>
        <v>1</v>
      </c>
      <c r="J8" s="180">
        <f t="shared" si="3"/>
        <v>0</v>
      </c>
      <c r="K8" s="181">
        <f t="shared" si="1"/>
        <v>0</v>
      </c>
      <c r="L8" s="47"/>
    </row>
    <row r="9" spans="2:12" ht="30" customHeight="1" x14ac:dyDescent="0.3">
      <c r="B9" s="48" t="str">
        <f t="shared" si="4"/>
        <v>IMC</v>
      </c>
      <c r="C9" s="2">
        <f>IF(ISTEXT(D9),MAX($C$4:$C8)+1,"")</f>
        <v>6</v>
      </c>
      <c r="D9" s="159" t="s">
        <v>11</v>
      </c>
      <c r="E9" s="60" t="s">
        <v>815</v>
      </c>
      <c r="F9" s="176" t="s">
        <v>43</v>
      </c>
      <c r="G9" s="177" t="s">
        <v>68</v>
      </c>
      <c r="H9" s="185">
        <f>COUNTIFS(D:D,"=Crucial",F:F,"=Function Available")</f>
        <v>0</v>
      </c>
      <c r="I9" s="179">
        <f t="shared" si="2"/>
        <v>1</v>
      </c>
      <c r="J9" s="180">
        <f t="shared" si="3"/>
        <v>0</v>
      </c>
      <c r="K9" s="181">
        <f t="shared" si="1"/>
        <v>0</v>
      </c>
      <c r="L9" s="47"/>
    </row>
    <row r="10" spans="2:12" ht="30" customHeight="1" x14ac:dyDescent="0.3">
      <c r="B10" s="48" t="str">
        <f t="shared" si="4"/>
        <v>IMC</v>
      </c>
      <c r="C10" s="2">
        <f>IF(ISTEXT(D10),MAX($C$4:$C9)+1,"")</f>
        <v>7</v>
      </c>
      <c r="D10" s="159" t="s">
        <v>11</v>
      </c>
      <c r="E10" s="60" t="s">
        <v>816</v>
      </c>
      <c r="F10" s="176" t="s">
        <v>43</v>
      </c>
      <c r="G10" s="177" t="s">
        <v>70</v>
      </c>
      <c r="H10" s="185">
        <f>COUNTIFS(D:D,"=Crucial",F:F,"=Function Not Available")</f>
        <v>0</v>
      </c>
      <c r="I10" s="179">
        <f t="shared" si="2"/>
        <v>1</v>
      </c>
      <c r="J10" s="180">
        <f t="shared" si="3"/>
        <v>0</v>
      </c>
      <c r="K10" s="181">
        <f t="shared" si="1"/>
        <v>0</v>
      </c>
      <c r="L10" s="47"/>
    </row>
    <row r="11" spans="2:12" ht="30" customHeight="1" x14ac:dyDescent="0.3">
      <c r="B11" s="48" t="str">
        <f t="shared" si="4"/>
        <v>IMC</v>
      </c>
      <c r="C11" s="2">
        <f>IF(ISTEXT(D11),MAX($C$4:$C10)+1,"")</f>
        <v>8</v>
      </c>
      <c r="D11" s="159" t="s">
        <v>11</v>
      </c>
      <c r="E11" s="60" t="s">
        <v>817</v>
      </c>
      <c r="F11" s="176" t="s">
        <v>43</v>
      </c>
      <c r="G11" s="177" t="s">
        <v>72</v>
      </c>
      <c r="H11" s="185">
        <f>COUNTIFS(D:D,"=Crucial",F:F,"=Exception")</f>
        <v>0</v>
      </c>
      <c r="I11" s="179">
        <f t="shared" si="2"/>
        <v>1</v>
      </c>
      <c r="J11" s="180">
        <f t="shared" si="3"/>
        <v>0</v>
      </c>
      <c r="K11" s="181">
        <f t="shared" si="1"/>
        <v>0</v>
      </c>
      <c r="L11" s="47"/>
    </row>
    <row r="12" spans="2:12" ht="30" customHeight="1" x14ac:dyDescent="0.3">
      <c r="B12" s="48" t="str">
        <f t="shared" si="4"/>
        <v>IMC</v>
      </c>
      <c r="C12" s="2">
        <f>IF(ISTEXT(D12),MAX($C$4:$C11)+1,"")</f>
        <v>9</v>
      </c>
      <c r="D12" s="159" t="s">
        <v>11</v>
      </c>
      <c r="E12" s="56" t="s">
        <v>818</v>
      </c>
      <c r="F12" s="176" t="s">
        <v>43</v>
      </c>
      <c r="G12" s="186" t="s">
        <v>74</v>
      </c>
      <c r="H12" s="187">
        <f>COUNTIFS(D:D,"=Important",F:F,"=Select From Drop Down")</f>
        <v>0</v>
      </c>
      <c r="I12" s="179">
        <f t="shared" si="2"/>
        <v>1</v>
      </c>
      <c r="J12" s="180">
        <f t="shared" si="3"/>
        <v>0</v>
      </c>
      <c r="K12" s="181">
        <f t="shared" si="1"/>
        <v>0</v>
      </c>
      <c r="L12" s="47"/>
    </row>
    <row r="13" spans="2:12" ht="30" customHeight="1" x14ac:dyDescent="0.3">
      <c r="B13" s="48" t="str">
        <f t="shared" si="4"/>
        <v>IMC</v>
      </c>
      <c r="C13" s="2">
        <f>IF(ISTEXT(D13),MAX($C$4:$C12)+1,"")</f>
        <v>10</v>
      </c>
      <c r="D13" s="159" t="s">
        <v>11</v>
      </c>
      <c r="E13" s="56" t="s">
        <v>819</v>
      </c>
      <c r="F13" s="176" t="s">
        <v>43</v>
      </c>
      <c r="G13" s="186" t="s">
        <v>76</v>
      </c>
      <c r="H13" s="187">
        <f>COUNTIFS(D:D,"=Important",F:F,"=Function Available")</f>
        <v>0</v>
      </c>
      <c r="I13" s="179">
        <f t="shared" si="2"/>
        <v>1</v>
      </c>
      <c r="J13" s="180">
        <f t="shared" si="3"/>
        <v>0</v>
      </c>
      <c r="K13" s="181">
        <f t="shared" si="1"/>
        <v>0</v>
      </c>
      <c r="L13" s="47"/>
    </row>
    <row r="14" spans="2:12" ht="30" customHeight="1" x14ac:dyDescent="0.3">
      <c r="B14" s="48" t="str">
        <f t="shared" si="4"/>
        <v>IMC</v>
      </c>
      <c r="C14" s="2">
        <f>IF(ISTEXT(D14),MAX($C$4:$C13)+1,"")</f>
        <v>11</v>
      </c>
      <c r="D14" s="159" t="s">
        <v>11</v>
      </c>
      <c r="E14" s="56" t="s">
        <v>820</v>
      </c>
      <c r="F14" s="176" t="s">
        <v>43</v>
      </c>
      <c r="G14" s="177" t="s">
        <v>78</v>
      </c>
      <c r="H14" s="185">
        <f>COUNTIFS(D:D,"=Important",F:F,"=Function Not Available")</f>
        <v>0</v>
      </c>
      <c r="I14" s="188">
        <f t="shared" si="2"/>
        <v>1</v>
      </c>
      <c r="J14" s="189">
        <f t="shared" si="3"/>
        <v>0</v>
      </c>
      <c r="K14" s="181">
        <f t="shared" si="1"/>
        <v>0</v>
      </c>
      <c r="L14" s="47"/>
    </row>
    <row r="15" spans="2:12" ht="42" thickBot="1" x14ac:dyDescent="0.35">
      <c r="B15" s="52" t="str">
        <f t="shared" si="4"/>
        <v>IMC</v>
      </c>
      <c r="C15" s="53">
        <f>IF(ISTEXT(D15),MAX($C$4:$C14)+1,"")</f>
        <v>12</v>
      </c>
      <c r="D15" s="168" t="s">
        <v>11</v>
      </c>
      <c r="E15" s="78" t="s">
        <v>821</v>
      </c>
      <c r="F15" s="243" t="s">
        <v>43</v>
      </c>
      <c r="G15" s="201" t="s">
        <v>80</v>
      </c>
      <c r="H15" s="202">
        <f>COUNTIFS(D:D,"=Important",F:F,"=Exception")</f>
        <v>0</v>
      </c>
      <c r="I15" s="253">
        <f t="shared" si="2"/>
        <v>1</v>
      </c>
      <c r="J15" s="254">
        <f t="shared" si="3"/>
        <v>0</v>
      </c>
      <c r="K15" s="199">
        <f t="shared" si="1"/>
        <v>0</v>
      </c>
      <c r="L15" s="54"/>
    </row>
    <row r="16" spans="2:12" ht="30" hidden="1" customHeight="1" x14ac:dyDescent="0.3">
      <c r="B16" s="61"/>
      <c r="C16" s="61"/>
      <c r="D16" s="171"/>
      <c r="E16" s="77"/>
      <c r="F16" s="121"/>
      <c r="G16" s="34" t="s">
        <v>82</v>
      </c>
      <c r="H16" s="122">
        <f>COUNTIFS(D:D,"=Minimal",F:F,"=Select From Drop Down")</f>
        <v>12</v>
      </c>
      <c r="I16" s="123"/>
      <c r="J16" s="124"/>
      <c r="K16" s="123"/>
      <c r="L16" s="173"/>
    </row>
    <row r="17" spans="2:12" ht="30" hidden="1" customHeight="1" x14ac:dyDescent="0.3">
      <c r="B17" s="73"/>
      <c r="C17" s="73"/>
      <c r="D17" s="240"/>
      <c r="E17" s="62"/>
      <c r="F17" s="125"/>
      <c r="G17" s="29" t="s">
        <v>84</v>
      </c>
      <c r="H17" s="126">
        <f>COUNTIFS(D:D,"=Minimal",F:F,"=Function Available")</f>
        <v>0</v>
      </c>
      <c r="I17" s="127"/>
      <c r="J17" s="128"/>
      <c r="K17" s="127"/>
      <c r="L17" s="161"/>
    </row>
    <row r="18" spans="2:12" ht="30" hidden="1" customHeight="1" x14ac:dyDescent="0.3">
      <c r="B18" s="73"/>
      <c r="C18" s="73"/>
      <c r="D18" s="240"/>
      <c r="E18" s="62"/>
      <c r="F18" s="125"/>
      <c r="G18" s="29" t="s">
        <v>86</v>
      </c>
      <c r="H18" s="126">
        <f>COUNTIFS(D:D,"=Minimal",F:F,"=Function Not Available")</f>
        <v>0</v>
      </c>
      <c r="I18" s="127"/>
      <c r="J18" s="128"/>
      <c r="K18" s="127"/>
      <c r="L18" s="161"/>
    </row>
    <row r="19" spans="2:12" ht="30" hidden="1" customHeight="1" x14ac:dyDescent="0.3">
      <c r="B19" s="73"/>
      <c r="C19" s="73"/>
      <c r="D19" s="240"/>
      <c r="E19" s="62"/>
      <c r="F19" s="125"/>
      <c r="G19" s="29" t="s">
        <v>88</v>
      </c>
      <c r="H19" s="126">
        <f>COUNTIFS(D:D,"=Minimal",F:F,"=Exception")</f>
        <v>0</v>
      </c>
      <c r="I19" s="127"/>
      <c r="J19" s="128"/>
      <c r="K19" s="127"/>
      <c r="L19" s="161"/>
    </row>
    <row r="20" spans="2:12" x14ac:dyDescent="0.3"/>
  </sheetData>
  <sheetProtection algorithmName="SHA-512" hashValue="zb3QhAhw4rLnbmtj0oPd/e5e37Tiur9zcjl98HrV4yP3naPt9z6hr8JuIFjSulitDbd2woQoi8NALRCxjohNNg==" saltValue="U6xRvKS4+Ujjl+u/S2+iVQ==" spinCount="100000" sheet="1" selectLockedCells="1"/>
  <conditionalFormatting sqref="D4:D19">
    <cfRule type="cellIs" dxfId="113" priority="10" operator="equal">
      <formula>"Important"</formula>
    </cfRule>
    <cfRule type="cellIs" dxfId="112" priority="11" operator="equal">
      <formula>"Crucial"</formula>
    </cfRule>
    <cfRule type="cellIs" dxfId="111" priority="12" operator="equal">
      <formula>"N/A"</formula>
    </cfRule>
  </conditionalFormatting>
  <conditionalFormatting sqref="F4:F19">
    <cfRule type="cellIs" dxfId="110" priority="1" operator="equal">
      <formula>"Function Not Available"</formula>
    </cfRule>
    <cfRule type="cellIs" dxfId="109" priority="2" operator="equal">
      <formula>"Function Available"</formula>
    </cfRule>
    <cfRule type="cellIs" dxfId="108" priority="3" operator="equal">
      <formula>"Exception"</formula>
    </cfRule>
  </conditionalFormatting>
  <dataValidations count="3">
    <dataValidation type="list" allowBlank="1" showInputMessage="1" showErrorMessage="1" sqref="F4:F5" xr:uid="{00000000-0002-0000-1800-000000000000}">
      <formula1>AvailabilityType</formula1>
    </dataValidation>
    <dataValidation type="list" allowBlank="1" showInputMessage="1" showErrorMessage="1" sqref="D4:D15" xr:uid="{00000000-0002-0000-1800-000001000000}">
      <formula1>SpecType</formula1>
    </dataValidation>
    <dataValidation type="list" allowBlank="1" showInputMessage="1" showErrorMessage="1" errorTitle="Invalid specification type" error="Please enter a Specification type from the drop-down list." sqref="F6:F15" xr:uid="{00000000-0002-0000-18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00"/>
  </sheetPr>
  <dimension ref="A1:M20"/>
  <sheetViews>
    <sheetView showGridLines="0" zoomScale="90" zoomScaleNormal="90" workbookViewId="0">
      <selection activeCell="F4" sqref="F4"/>
    </sheetView>
  </sheetViews>
  <sheetFormatPr defaultColWidth="0" defaultRowHeight="14.4" zeroHeight="1" x14ac:dyDescent="0.3"/>
  <cols>
    <col min="1" max="1" width="1.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5.7" customHeight="1" thickBot="1" x14ac:dyDescent="0.35"/>
    <row r="2" spans="2:12" ht="129" customHeight="1" thickBot="1" x14ac:dyDescent="0.35">
      <c r="B2" s="102" t="s">
        <v>44</v>
      </c>
      <c r="C2" s="102" t="s">
        <v>45</v>
      </c>
      <c r="D2" s="102" t="s">
        <v>46</v>
      </c>
      <c r="E2" s="102" t="s">
        <v>822</v>
      </c>
      <c r="F2" s="102" t="s">
        <v>42</v>
      </c>
      <c r="G2" s="103" t="s">
        <v>48</v>
      </c>
      <c r="H2" s="103" t="s">
        <v>49</v>
      </c>
      <c r="I2" s="104" t="s">
        <v>50</v>
      </c>
      <c r="J2" s="104" t="s">
        <v>51</v>
      </c>
      <c r="K2" s="105" t="s">
        <v>14</v>
      </c>
      <c r="L2" s="106" t="s">
        <v>52</v>
      </c>
    </row>
    <row r="3" spans="2:12" ht="16.2" thickBot="1" x14ac:dyDescent="0.35">
      <c r="B3" s="45" t="s">
        <v>823</v>
      </c>
      <c r="C3" s="8"/>
      <c r="D3" s="8"/>
      <c r="E3" s="8"/>
      <c r="F3" s="8"/>
      <c r="G3" s="34" t="s">
        <v>54</v>
      </c>
      <c r="H3" s="7">
        <f>COUNTA(D4:D478)</f>
        <v>9</v>
      </c>
      <c r="I3" s="24"/>
      <c r="J3" s="25" t="s">
        <v>55</v>
      </c>
      <c r="K3" s="26">
        <f t="shared" ref="K3" si="0">SUM(K4:K478)</f>
        <v>0</v>
      </c>
      <c r="L3" s="46"/>
    </row>
    <row r="4" spans="2:12" ht="30" customHeight="1" x14ac:dyDescent="0.3">
      <c r="B4" s="48" t="s">
        <v>824</v>
      </c>
      <c r="C4" s="2">
        <v>1</v>
      </c>
      <c r="D4" s="159" t="s">
        <v>10</v>
      </c>
      <c r="E4" s="60" t="s">
        <v>825</v>
      </c>
      <c r="F4" s="176" t="s">
        <v>43</v>
      </c>
      <c r="G4" s="177" t="s">
        <v>58</v>
      </c>
      <c r="H4" s="178">
        <f>COUNTIF(F4:F478,"Select from Drop Down")</f>
        <v>9</v>
      </c>
      <c r="I4" s="179">
        <f>VLOOKUP($D4,SpecData,2,FALSE)</f>
        <v>2</v>
      </c>
      <c r="J4" s="180">
        <f>VLOOKUP($F4,AvailabilityData,2,FALSE)</f>
        <v>0</v>
      </c>
      <c r="K4" s="181">
        <f>I4*J4</f>
        <v>0</v>
      </c>
      <c r="L4" s="47"/>
    </row>
    <row r="5" spans="2:12" ht="30" customHeight="1" x14ac:dyDescent="0.3">
      <c r="B5" s="48" t="str">
        <f>IF(C5="","",$B$4)</f>
        <v>IPict</v>
      </c>
      <c r="C5" s="2">
        <f>IF(ISTEXT(D5),MAX($C$4:$C4)+1,"")</f>
        <v>2</v>
      </c>
      <c r="D5" s="159" t="s">
        <v>10</v>
      </c>
      <c r="E5" s="60" t="s">
        <v>826</v>
      </c>
      <c r="F5" s="176" t="s">
        <v>43</v>
      </c>
      <c r="G5" s="177" t="s">
        <v>60</v>
      </c>
      <c r="H5" s="178">
        <f>COUNTIF(F4:F478,"Function Available")</f>
        <v>0</v>
      </c>
      <c r="I5" s="179">
        <f>VLOOKUP($D5,SpecData,2,FALSE)</f>
        <v>2</v>
      </c>
      <c r="J5" s="180">
        <f>VLOOKUP($F5,AvailabilityData,2,FALSE)</f>
        <v>0</v>
      </c>
      <c r="K5" s="181">
        <f t="shared" ref="K5:K12" si="1">I5*J5</f>
        <v>0</v>
      </c>
      <c r="L5" s="47"/>
    </row>
    <row r="6" spans="2:12" ht="30" customHeight="1" x14ac:dyDescent="0.3">
      <c r="B6" s="48" t="str">
        <f>IF(C6="","",$B$4)</f>
        <v>IPict</v>
      </c>
      <c r="C6" s="2">
        <f>IF(ISTEXT(D6),MAX($C$4:$C5)+1,"")</f>
        <v>3</v>
      </c>
      <c r="D6" s="159" t="s">
        <v>10</v>
      </c>
      <c r="E6" s="60" t="s">
        <v>827</v>
      </c>
      <c r="F6" s="176" t="s">
        <v>43</v>
      </c>
      <c r="G6" s="177" t="s">
        <v>62</v>
      </c>
      <c r="H6" s="184">
        <f>COUNTIF(F4:F478,"Function Not Available")</f>
        <v>0</v>
      </c>
      <c r="I6" s="179">
        <f t="shared" ref="I6:I12" si="2">VLOOKUP($D6,SpecData,2,FALSE)</f>
        <v>2</v>
      </c>
      <c r="J6" s="180">
        <f t="shared" ref="J6:J12" si="3">VLOOKUP($F6,AvailabilityData,2,FALSE)</f>
        <v>0</v>
      </c>
      <c r="K6" s="181">
        <f t="shared" si="1"/>
        <v>0</v>
      </c>
      <c r="L6" s="47"/>
    </row>
    <row r="7" spans="2:12" ht="30" customHeight="1" x14ac:dyDescent="0.3">
      <c r="B7" s="48" t="str">
        <f t="shared" ref="B7:B12" si="4">IF(C7="","",$B$4)</f>
        <v>IPict</v>
      </c>
      <c r="C7" s="2">
        <f>IF(ISTEXT(D7),MAX($C$4:$C6)+1,"")</f>
        <v>4</v>
      </c>
      <c r="D7" s="159" t="s">
        <v>10</v>
      </c>
      <c r="E7" s="60" t="s">
        <v>828</v>
      </c>
      <c r="F7" s="176" t="s">
        <v>43</v>
      </c>
      <c r="G7" s="177" t="s">
        <v>64</v>
      </c>
      <c r="H7" s="184">
        <f>COUNTIF(F4:F478,"Exception")</f>
        <v>0</v>
      </c>
      <c r="I7" s="179">
        <f t="shared" si="2"/>
        <v>2</v>
      </c>
      <c r="J7" s="180">
        <f t="shared" si="3"/>
        <v>0</v>
      </c>
      <c r="K7" s="181">
        <f t="shared" si="1"/>
        <v>0</v>
      </c>
      <c r="L7" s="47"/>
    </row>
    <row r="8" spans="2:12" ht="30" customHeight="1" x14ac:dyDescent="0.3">
      <c r="B8" s="48" t="str">
        <f t="shared" si="4"/>
        <v>IPict</v>
      </c>
      <c r="C8" s="2">
        <f>IF(ISTEXT(D8),MAX($C$4:$C7)+1,"")</f>
        <v>5</v>
      </c>
      <c r="D8" s="159" t="s">
        <v>10</v>
      </c>
      <c r="E8" s="60" t="s">
        <v>829</v>
      </c>
      <c r="F8" s="176" t="s">
        <v>43</v>
      </c>
      <c r="G8" s="177" t="s">
        <v>66</v>
      </c>
      <c r="H8" s="185">
        <f>COUNTIFS(D:D,"=Crucial",F:F,"=Select From Drop Down")</f>
        <v>0</v>
      </c>
      <c r="I8" s="179">
        <f t="shared" si="2"/>
        <v>2</v>
      </c>
      <c r="J8" s="180">
        <f t="shared" si="3"/>
        <v>0</v>
      </c>
      <c r="K8" s="181">
        <f t="shared" si="1"/>
        <v>0</v>
      </c>
      <c r="L8" s="47"/>
    </row>
    <row r="9" spans="2:12" ht="30" customHeight="1" x14ac:dyDescent="0.3">
      <c r="B9" s="48" t="str">
        <f t="shared" si="4"/>
        <v>IPict</v>
      </c>
      <c r="C9" s="2">
        <f>IF(ISTEXT(D9),MAX($C$4:$C8)+1,"")</f>
        <v>6</v>
      </c>
      <c r="D9" s="159" t="s">
        <v>10</v>
      </c>
      <c r="E9" s="60" t="s">
        <v>830</v>
      </c>
      <c r="F9" s="176" t="s">
        <v>43</v>
      </c>
      <c r="G9" s="177" t="s">
        <v>68</v>
      </c>
      <c r="H9" s="185">
        <f>COUNTIFS(D:D,"=Crucial",F:F,"=Function Available")</f>
        <v>0</v>
      </c>
      <c r="I9" s="179">
        <f t="shared" si="2"/>
        <v>2</v>
      </c>
      <c r="J9" s="180">
        <f t="shared" si="3"/>
        <v>0</v>
      </c>
      <c r="K9" s="181">
        <f t="shared" si="1"/>
        <v>0</v>
      </c>
      <c r="L9" s="47"/>
    </row>
    <row r="10" spans="2:12" ht="30" customHeight="1" x14ac:dyDescent="0.3">
      <c r="B10" s="48" t="str">
        <f t="shared" si="4"/>
        <v>IPict</v>
      </c>
      <c r="C10" s="2">
        <f>IF(ISTEXT(D10),MAX($C$4:$C9)+1,"")</f>
        <v>7</v>
      </c>
      <c r="D10" s="159" t="s">
        <v>10</v>
      </c>
      <c r="E10" s="60" t="s">
        <v>831</v>
      </c>
      <c r="F10" s="176" t="s">
        <v>43</v>
      </c>
      <c r="G10" s="177" t="s">
        <v>70</v>
      </c>
      <c r="H10" s="185">
        <f>COUNTIFS(D:D,"=Crucial",F:F,"=Function Not Available")</f>
        <v>0</v>
      </c>
      <c r="I10" s="179">
        <f t="shared" si="2"/>
        <v>2</v>
      </c>
      <c r="J10" s="180">
        <f t="shared" si="3"/>
        <v>0</v>
      </c>
      <c r="K10" s="181">
        <f t="shared" si="1"/>
        <v>0</v>
      </c>
      <c r="L10" s="47"/>
    </row>
    <row r="11" spans="2:12" ht="30" customHeight="1" x14ac:dyDescent="0.3">
      <c r="B11" s="48" t="str">
        <f t="shared" si="4"/>
        <v>IPict</v>
      </c>
      <c r="C11" s="2">
        <f>IF(ISTEXT(D11),MAX($C$4:$C10)+1,"")</f>
        <v>8</v>
      </c>
      <c r="D11" s="159" t="s">
        <v>10</v>
      </c>
      <c r="E11" s="55" t="s">
        <v>832</v>
      </c>
      <c r="F11" s="176" t="s">
        <v>43</v>
      </c>
      <c r="G11" s="177" t="s">
        <v>72</v>
      </c>
      <c r="H11" s="185">
        <f>COUNTIFS(D:D,"=Crucial",F:F,"=Exception")</f>
        <v>0</v>
      </c>
      <c r="I11" s="179">
        <f t="shared" si="2"/>
        <v>2</v>
      </c>
      <c r="J11" s="180">
        <f t="shared" si="3"/>
        <v>0</v>
      </c>
      <c r="K11" s="181">
        <f t="shared" si="1"/>
        <v>0</v>
      </c>
      <c r="L11" s="47"/>
    </row>
    <row r="12" spans="2:12" ht="30" customHeight="1" thickBot="1" x14ac:dyDescent="0.35">
      <c r="B12" s="52" t="str">
        <f t="shared" si="4"/>
        <v>IPict</v>
      </c>
      <c r="C12" s="53">
        <f>IF(ISTEXT(D12),MAX($C$4:$C11)+1,"")</f>
        <v>9</v>
      </c>
      <c r="D12" s="168" t="s">
        <v>10</v>
      </c>
      <c r="E12" s="169" t="s">
        <v>833</v>
      </c>
      <c r="F12" s="243" t="s">
        <v>43</v>
      </c>
      <c r="G12" s="195" t="s">
        <v>74</v>
      </c>
      <c r="H12" s="196">
        <f>COUNTIFS(D:D,"=Important",F:F,"=Select From Drop Down")</f>
        <v>9</v>
      </c>
      <c r="I12" s="197">
        <f t="shared" si="2"/>
        <v>2</v>
      </c>
      <c r="J12" s="198">
        <f t="shared" si="3"/>
        <v>0</v>
      </c>
      <c r="K12" s="199">
        <f t="shared" si="1"/>
        <v>0</v>
      </c>
      <c r="L12" s="54"/>
    </row>
    <row r="13" spans="2:12" ht="30" hidden="1" customHeight="1" x14ac:dyDescent="0.3">
      <c r="B13" s="61"/>
      <c r="C13" s="61"/>
      <c r="D13" s="171"/>
      <c r="E13" s="77"/>
      <c r="F13" s="121"/>
      <c r="G13" s="34" t="s">
        <v>76</v>
      </c>
      <c r="H13" s="122">
        <f>COUNTIFS(D:D,"=Important",F:F,"=Function Available")</f>
        <v>0</v>
      </c>
      <c r="I13" s="123"/>
      <c r="J13" s="124"/>
      <c r="K13" s="123"/>
      <c r="L13" s="173"/>
    </row>
    <row r="14" spans="2:12" ht="30" hidden="1" customHeight="1" x14ac:dyDescent="0.3">
      <c r="B14" s="73"/>
      <c r="C14" s="73"/>
      <c r="D14" s="240"/>
      <c r="E14" s="62"/>
      <c r="F14" s="125"/>
      <c r="G14" s="29" t="s">
        <v>78</v>
      </c>
      <c r="H14" s="126">
        <f>COUNTIFS(D:D,"=Important",F:F,"=Function Not Available")</f>
        <v>0</v>
      </c>
      <c r="I14" s="127"/>
      <c r="J14" s="128"/>
      <c r="K14" s="127"/>
      <c r="L14" s="161"/>
    </row>
    <row r="15" spans="2:12" ht="30" hidden="1" customHeight="1" x14ac:dyDescent="0.3">
      <c r="B15" s="73"/>
      <c r="C15" s="73"/>
      <c r="D15" s="240"/>
      <c r="E15" s="62"/>
      <c r="F15" s="125"/>
      <c r="G15" s="29" t="s">
        <v>80</v>
      </c>
      <c r="H15" s="126">
        <f>COUNTIFS(D:D,"=Important",F:F,"=Exception")</f>
        <v>0</v>
      </c>
      <c r="I15" s="127"/>
      <c r="J15" s="128"/>
      <c r="K15" s="127"/>
      <c r="L15" s="161"/>
    </row>
    <row r="16" spans="2:12" ht="30" hidden="1" customHeight="1" x14ac:dyDescent="0.3">
      <c r="B16" s="73"/>
      <c r="C16" s="73"/>
      <c r="D16" s="240"/>
      <c r="E16" s="62"/>
      <c r="F16" s="125"/>
      <c r="G16" s="29" t="s">
        <v>82</v>
      </c>
      <c r="H16" s="126">
        <f>COUNTIFS(D:D,"=Minimal",F:F,"=Select From Drop Down")</f>
        <v>0</v>
      </c>
      <c r="I16" s="127"/>
      <c r="J16" s="128"/>
      <c r="K16" s="127"/>
      <c r="L16" s="161"/>
    </row>
    <row r="17" spans="2:12" ht="30" hidden="1" customHeight="1" x14ac:dyDescent="0.3">
      <c r="B17" s="73"/>
      <c r="C17" s="73"/>
      <c r="D17" s="240"/>
      <c r="E17" s="62"/>
      <c r="F17" s="125"/>
      <c r="G17" s="29" t="s">
        <v>84</v>
      </c>
      <c r="H17" s="126">
        <f>COUNTIFS(D:D,"=Minimal",F:F,"=Function Available")</f>
        <v>0</v>
      </c>
      <c r="I17" s="127"/>
      <c r="J17" s="128"/>
      <c r="K17" s="127"/>
      <c r="L17" s="161"/>
    </row>
    <row r="18" spans="2:12" ht="30" hidden="1" customHeight="1" x14ac:dyDescent="0.3">
      <c r="B18" s="73"/>
      <c r="C18" s="73"/>
      <c r="D18" s="240"/>
      <c r="E18" s="62"/>
      <c r="F18" s="125"/>
      <c r="G18" s="29" t="s">
        <v>86</v>
      </c>
      <c r="H18" s="126">
        <f>COUNTIFS(D:D,"=Minimal",F:F,"=Function Not Available")</f>
        <v>0</v>
      </c>
      <c r="I18" s="127"/>
      <c r="J18" s="128"/>
      <c r="K18" s="127"/>
      <c r="L18" s="161"/>
    </row>
    <row r="19" spans="2:12" ht="30" hidden="1" customHeight="1" x14ac:dyDescent="0.3">
      <c r="B19" s="73"/>
      <c r="C19" s="73"/>
      <c r="D19" s="240"/>
      <c r="E19" s="62"/>
      <c r="F19" s="125"/>
      <c r="G19" s="29" t="s">
        <v>88</v>
      </c>
      <c r="H19" s="126">
        <f>COUNTIFS(D:D,"=Minimal",F:F,"=Exception")</f>
        <v>0</v>
      </c>
      <c r="I19" s="127"/>
      <c r="J19" s="128"/>
      <c r="K19" s="127"/>
      <c r="L19" s="161"/>
    </row>
    <row r="20" spans="2:12" ht="9.6" customHeight="1" x14ac:dyDescent="0.3"/>
  </sheetData>
  <sheetProtection algorithmName="SHA-512" hashValue="YldoYlM5OG+4m7ADp0ApmJh+2+TEoD6huugiHtCuua2ascvXi6X5mG5TaFQRrHE6yq3p4/GiJDsKKnM5KruSdw==" saltValue="QUYo9NWZxttCtYcaMB9eCA==" spinCount="100000" sheet="1" selectLockedCells="1"/>
  <conditionalFormatting sqref="D4:D19">
    <cfRule type="cellIs" dxfId="107" priority="1" operator="equal">
      <formula>"Important"</formula>
    </cfRule>
    <cfRule type="cellIs" dxfId="106" priority="2" operator="equal">
      <formula>"Crucial"</formula>
    </cfRule>
    <cfRule type="cellIs" dxfId="105" priority="3" operator="equal">
      <formula>"N/A"</formula>
    </cfRule>
  </conditionalFormatting>
  <conditionalFormatting sqref="F4:F19">
    <cfRule type="cellIs" dxfId="104" priority="7" operator="equal">
      <formula>"Function Not Available"</formula>
    </cfRule>
    <cfRule type="cellIs" dxfId="103" priority="8" operator="equal">
      <formula>"Function Available"</formula>
    </cfRule>
    <cfRule type="cellIs" dxfId="102" priority="9" operator="equal">
      <formula>"Exception"</formula>
    </cfRule>
  </conditionalFormatting>
  <dataValidations count="3">
    <dataValidation type="list" allowBlank="1" showInputMessage="1" showErrorMessage="1" sqref="F4:F5" xr:uid="{00000000-0002-0000-1900-000000000000}">
      <formula1>AvailabilityType</formula1>
    </dataValidation>
    <dataValidation type="list" allowBlank="1" showInputMessage="1" showErrorMessage="1" sqref="D4:D12" xr:uid="{574EFCB6-C1D4-459F-880A-B7A96DE5E168}">
      <formula1>SpecType</formula1>
    </dataValidation>
    <dataValidation type="list" allowBlank="1" showInputMessage="1" showErrorMessage="1" errorTitle="Invalid specification type" error="Please enter a Specification type from the drop-down list." sqref="F6:F12" xr:uid="{00000000-0002-0000-19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00"/>
  </sheetPr>
  <dimension ref="A1:M58"/>
  <sheetViews>
    <sheetView showGridLines="0" topLeftCell="A40" zoomScale="90" zoomScaleNormal="9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6" customHeight="1" x14ac:dyDescent="0.3"/>
    <row r="2" spans="2:12" ht="129" customHeight="1" thickBot="1" x14ac:dyDescent="0.35">
      <c r="B2" s="96" t="s">
        <v>44</v>
      </c>
      <c r="C2" s="97" t="s">
        <v>45</v>
      </c>
      <c r="D2" s="97" t="s">
        <v>46</v>
      </c>
      <c r="E2" s="97" t="s">
        <v>834</v>
      </c>
      <c r="F2" s="97" t="s">
        <v>42</v>
      </c>
      <c r="G2" s="98" t="s">
        <v>48</v>
      </c>
      <c r="H2" s="98" t="s">
        <v>49</v>
      </c>
      <c r="I2" s="99" t="s">
        <v>50</v>
      </c>
      <c r="J2" s="99" t="s">
        <v>51</v>
      </c>
      <c r="K2" s="100" t="s">
        <v>14</v>
      </c>
      <c r="L2" s="101" t="s">
        <v>52</v>
      </c>
    </row>
    <row r="3" spans="2:12" ht="16.2" thickBot="1" x14ac:dyDescent="0.35">
      <c r="B3" s="8" t="s">
        <v>835</v>
      </c>
      <c r="C3" s="8"/>
      <c r="D3" s="8"/>
      <c r="E3" s="8"/>
      <c r="F3" s="8"/>
      <c r="G3" s="34" t="s">
        <v>54</v>
      </c>
      <c r="H3" s="7">
        <f>COUNTA(D4:D498)</f>
        <v>50</v>
      </c>
      <c r="I3" s="24"/>
      <c r="J3" s="25" t="s">
        <v>55</v>
      </c>
      <c r="K3" s="26">
        <f>SUM(K4:K498)</f>
        <v>0</v>
      </c>
      <c r="L3" s="8"/>
    </row>
    <row r="4" spans="2:12" ht="30" customHeight="1" x14ac:dyDescent="0.3">
      <c r="B4" s="37" t="s">
        <v>836</v>
      </c>
      <c r="C4" s="2">
        <v>1</v>
      </c>
      <c r="D4" s="159" t="s">
        <v>9</v>
      </c>
      <c r="E4" s="36" t="s">
        <v>1235</v>
      </c>
      <c r="F4" s="176" t="s">
        <v>43</v>
      </c>
      <c r="G4" s="177" t="s">
        <v>58</v>
      </c>
      <c r="H4" s="178">
        <f>COUNTIF(F4:F498,"Select from Drop Down")</f>
        <v>50</v>
      </c>
      <c r="I4" s="179">
        <f>VLOOKUP($D4,SpecData,2,FALSE)</f>
        <v>3</v>
      </c>
      <c r="J4" s="180">
        <f>VLOOKUP($F4,AvailabilityData,2,FALSE)</f>
        <v>0</v>
      </c>
      <c r="K4" s="181">
        <f>I4*J4</f>
        <v>0</v>
      </c>
      <c r="L4" s="38"/>
    </row>
    <row r="5" spans="2:12" ht="30" customHeight="1" x14ac:dyDescent="0.3">
      <c r="B5" s="37" t="str">
        <f>IF(C5="","",$B$4)</f>
        <v>IRadio</v>
      </c>
      <c r="C5" s="2">
        <f>IF(ISTEXT(D5),MAX($C$4:$C4)+1,"")</f>
        <v>2</v>
      </c>
      <c r="D5" s="159" t="s">
        <v>9</v>
      </c>
      <c r="E5" s="36" t="s">
        <v>837</v>
      </c>
      <c r="F5" s="176" t="s">
        <v>43</v>
      </c>
      <c r="G5" s="177" t="s">
        <v>60</v>
      </c>
      <c r="H5" s="178">
        <f>COUNTIF(F4:F498,"Function Available")</f>
        <v>0</v>
      </c>
      <c r="I5" s="179">
        <f>VLOOKUP($D5,SpecData,2,FALSE)</f>
        <v>3</v>
      </c>
      <c r="J5" s="180">
        <f>VLOOKUP($F5,AvailabilityData,2,FALSE)</f>
        <v>0</v>
      </c>
      <c r="K5" s="181">
        <f t="shared" ref="K5:K57" si="0">I5*J5</f>
        <v>0</v>
      </c>
      <c r="L5" s="38"/>
    </row>
    <row r="6" spans="2:12" ht="30" customHeight="1" x14ac:dyDescent="0.3">
      <c r="B6" s="40" t="str">
        <f t="shared" ref="B6" si="1">IF(C6="","",$B$4)</f>
        <v/>
      </c>
      <c r="C6" s="1" t="str">
        <f>IF(ISTEXT(D6),MAX($C5:$C$6)+1,"")</f>
        <v/>
      </c>
      <c r="D6" s="3"/>
      <c r="E6" s="333" t="s">
        <v>838</v>
      </c>
      <c r="F6" s="115"/>
      <c r="G6" s="31"/>
      <c r="H6" s="31"/>
      <c r="I6" s="31"/>
      <c r="J6" s="31"/>
      <c r="K6" s="31"/>
      <c r="L6" s="31"/>
    </row>
    <row r="7" spans="2:12" ht="30" customHeight="1" x14ac:dyDescent="0.3">
      <c r="B7" s="37" t="str">
        <f>IF(C7="","",$B$4)</f>
        <v>IRadio</v>
      </c>
      <c r="C7" s="2">
        <f>IF(ISTEXT(D7),MAX($C$4:$C5)+1,"")</f>
        <v>3</v>
      </c>
      <c r="D7" s="159" t="s">
        <v>9</v>
      </c>
      <c r="E7" s="334" t="s">
        <v>839</v>
      </c>
      <c r="F7" s="176" t="s">
        <v>43</v>
      </c>
      <c r="G7" s="177" t="s">
        <v>62</v>
      </c>
      <c r="H7" s="184">
        <f>COUNTIF(F4:F498,"Function Not Available")</f>
        <v>0</v>
      </c>
      <c r="I7" s="179">
        <f t="shared" ref="I7:I57" si="2">VLOOKUP($D7,SpecData,2,FALSE)</f>
        <v>3</v>
      </c>
      <c r="J7" s="180">
        <f t="shared" ref="J7:J57" si="3">VLOOKUP($F7,AvailabilityData,2,FALSE)</f>
        <v>0</v>
      </c>
      <c r="K7" s="181">
        <f t="shared" si="0"/>
        <v>0</v>
      </c>
      <c r="L7" s="38"/>
    </row>
    <row r="8" spans="2:12" ht="30" customHeight="1" x14ac:dyDescent="0.3">
      <c r="B8" s="37" t="str">
        <f t="shared" ref="B8:B48" si="4">IF(C8="","",$B$4)</f>
        <v>IRadio</v>
      </c>
      <c r="C8" s="2">
        <f>IF(ISTEXT(D8),MAX($C$4:$C7)+1,"")</f>
        <v>4</v>
      </c>
      <c r="D8" s="159" t="s">
        <v>9</v>
      </c>
      <c r="E8" s="334" t="s">
        <v>840</v>
      </c>
      <c r="F8" s="176" t="s">
        <v>43</v>
      </c>
      <c r="G8" s="177" t="s">
        <v>64</v>
      </c>
      <c r="H8" s="184">
        <f>COUNTIF(F4:F498,"Exception")</f>
        <v>0</v>
      </c>
      <c r="I8" s="179">
        <f t="shared" si="2"/>
        <v>3</v>
      </c>
      <c r="J8" s="180">
        <f t="shared" si="3"/>
        <v>0</v>
      </c>
      <c r="K8" s="181">
        <f t="shared" si="0"/>
        <v>0</v>
      </c>
      <c r="L8" s="38"/>
    </row>
    <row r="9" spans="2:12" ht="30" customHeight="1" x14ac:dyDescent="0.3">
      <c r="B9" s="37" t="str">
        <f t="shared" si="4"/>
        <v>IRadio</v>
      </c>
      <c r="C9" s="2">
        <f>IF(ISTEXT(D9),MAX($C$4:$C8)+1,"")</f>
        <v>5</v>
      </c>
      <c r="D9" s="159" t="s">
        <v>9</v>
      </c>
      <c r="E9" s="334" t="s">
        <v>841</v>
      </c>
      <c r="F9" s="176" t="s">
        <v>43</v>
      </c>
      <c r="G9" s="177" t="s">
        <v>66</v>
      </c>
      <c r="H9" s="185">
        <f>COUNTIFS(D:D,"=Crucial",F:F,"=Select From Drop Down")</f>
        <v>31</v>
      </c>
      <c r="I9" s="179">
        <f t="shared" si="2"/>
        <v>3</v>
      </c>
      <c r="J9" s="180">
        <f t="shared" si="3"/>
        <v>0</v>
      </c>
      <c r="K9" s="181">
        <f t="shared" si="0"/>
        <v>0</v>
      </c>
      <c r="L9" s="38"/>
    </row>
    <row r="10" spans="2:12" ht="30" customHeight="1" x14ac:dyDescent="0.3">
      <c r="B10" s="37" t="str">
        <f t="shared" si="4"/>
        <v>IRadio</v>
      </c>
      <c r="C10" s="2">
        <f>IF(ISTEXT(D10),MAX($C$4:$C9)+1,"")</f>
        <v>6</v>
      </c>
      <c r="D10" s="159" t="s">
        <v>9</v>
      </c>
      <c r="E10" s="334" t="s">
        <v>842</v>
      </c>
      <c r="F10" s="176" t="s">
        <v>43</v>
      </c>
      <c r="G10" s="177" t="s">
        <v>68</v>
      </c>
      <c r="H10" s="185">
        <f>COUNTIFS(D:D,"=Crucial",F:F,"=Function Available")</f>
        <v>0</v>
      </c>
      <c r="I10" s="179">
        <f t="shared" si="2"/>
        <v>3</v>
      </c>
      <c r="J10" s="180">
        <f t="shared" si="3"/>
        <v>0</v>
      </c>
      <c r="K10" s="181">
        <f t="shared" si="0"/>
        <v>0</v>
      </c>
      <c r="L10" s="38"/>
    </row>
    <row r="11" spans="2:12" ht="30" customHeight="1" x14ac:dyDescent="0.3">
      <c r="B11" s="37" t="str">
        <f t="shared" si="4"/>
        <v>IRadio</v>
      </c>
      <c r="C11" s="2">
        <f>IF(ISTEXT(D11),MAX($C$4:$C10)+1,"")</f>
        <v>7</v>
      </c>
      <c r="D11" s="159" t="s">
        <v>9</v>
      </c>
      <c r="E11" s="334" t="s">
        <v>843</v>
      </c>
      <c r="F11" s="176" t="s">
        <v>43</v>
      </c>
      <c r="G11" s="177" t="s">
        <v>70</v>
      </c>
      <c r="H11" s="185">
        <f>COUNTIFS(D:D,"=Crucial",F:F,"=Function Not Available")</f>
        <v>0</v>
      </c>
      <c r="I11" s="179">
        <f t="shared" si="2"/>
        <v>3</v>
      </c>
      <c r="J11" s="180">
        <f t="shared" si="3"/>
        <v>0</v>
      </c>
      <c r="K11" s="181">
        <f t="shared" si="0"/>
        <v>0</v>
      </c>
      <c r="L11" s="38"/>
    </row>
    <row r="12" spans="2:12" ht="30" customHeight="1" x14ac:dyDescent="0.3">
      <c r="B12" s="37" t="str">
        <f t="shared" si="4"/>
        <v>IRadio</v>
      </c>
      <c r="C12" s="2">
        <f>IF(ISTEXT(D12),MAX($C$4:$C11)+1,"")</f>
        <v>8</v>
      </c>
      <c r="D12" s="159" t="s">
        <v>9</v>
      </c>
      <c r="E12" s="334" t="s">
        <v>844</v>
      </c>
      <c r="F12" s="176" t="s">
        <v>43</v>
      </c>
      <c r="G12" s="177" t="s">
        <v>72</v>
      </c>
      <c r="H12" s="185">
        <f>COUNTIFS(D:D,"=Crucial",F:F,"=Exception")</f>
        <v>0</v>
      </c>
      <c r="I12" s="179">
        <f t="shared" si="2"/>
        <v>3</v>
      </c>
      <c r="J12" s="180">
        <f t="shared" si="3"/>
        <v>0</v>
      </c>
      <c r="K12" s="181">
        <f t="shared" si="0"/>
        <v>0</v>
      </c>
      <c r="L12" s="38"/>
    </row>
    <row r="13" spans="2:12" ht="41.4" x14ac:dyDescent="0.3">
      <c r="B13" s="37" t="str">
        <f t="shared" si="4"/>
        <v>IRadio</v>
      </c>
      <c r="C13" s="2">
        <f>IF(ISTEXT(D13),MAX($C$4:$C12)+1,"")</f>
        <v>9</v>
      </c>
      <c r="D13" s="159" t="s">
        <v>10</v>
      </c>
      <c r="E13" s="256" t="s">
        <v>845</v>
      </c>
      <c r="F13" s="176" t="s">
        <v>43</v>
      </c>
      <c r="G13" s="186" t="s">
        <v>74</v>
      </c>
      <c r="H13" s="187">
        <f>COUNTIFS(D:D,"=Important",F:F,"=Select From Drop Down")</f>
        <v>10</v>
      </c>
      <c r="I13" s="179">
        <f t="shared" si="2"/>
        <v>2</v>
      </c>
      <c r="J13" s="180">
        <f t="shared" si="3"/>
        <v>0</v>
      </c>
      <c r="K13" s="181">
        <f t="shared" si="0"/>
        <v>0</v>
      </c>
      <c r="L13" s="38"/>
    </row>
    <row r="14" spans="2:12" ht="55.2" x14ac:dyDescent="0.3">
      <c r="B14" s="37" t="str">
        <f t="shared" si="4"/>
        <v>IRadio</v>
      </c>
      <c r="C14" s="2">
        <f>IF(ISTEXT(D14),MAX($C$4:$C13)+1,"")</f>
        <v>10</v>
      </c>
      <c r="D14" s="159" t="s">
        <v>9</v>
      </c>
      <c r="E14" s="36" t="s">
        <v>846</v>
      </c>
      <c r="F14" s="176" t="s">
        <v>43</v>
      </c>
      <c r="G14" s="186" t="s">
        <v>76</v>
      </c>
      <c r="H14" s="187">
        <f>COUNTIFS(D:D,"=Important",F:F,"=Function Available")</f>
        <v>0</v>
      </c>
      <c r="I14" s="179">
        <f t="shared" si="2"/>
        <v>3</v>
      </c>
      <c r="J14" s="180">
        <f t="shared" si="3"/>
        <v>0</v>
      </c>
      <c r="K14" s="181">
        <f t="shared" si="0"/>
        <v>0</v>
      </c>
      <c r="L14" s="38"/>
    </row>
    <row r="15" spans="2:12" ht="30" customHeight="1" x14ac:dyDescent="0.3">
      <c r="B15" s="37" t="str">
        <f t="shared" si="4"/>
        <v>IRadio</v>
      </c>
      <c r="C15" s="2">
        <f>IF(ISTEXT(D15),MAX($C$4:$C14)+1,"")</f>
        <v>11</v>
      </c>
      <c r="D15" s="159" t="s">
        <v>9</v>
      </c>
      <c r="E15" s="55" t="s">
        <v>1262</v>
      </c>
      <c r="F15" s="176" t="s">
        <v>43</v>
      </c>
      <c r="G15" s="177" t="s">
        <v>78</v>
      </c>
      <c r="H15" s="185">
        <f>COUNTIFS(D:D,"=Important",F:F,"=Function Not Available")</f>
        <v>0</v>
      </c>
      <c r="I15" s="188">
        <f t="shared" si="2"/>
        <v>3</v>
      </c>
      <c r="J15" s="189">
        <f t="shared" si="3"/>
        <v>0</v>
      </c>
      <c r="K15" s="181">
        <f t="shared" si="0"/>
        <v>0</v>
      </c>
      <c r="L15" s="38"/>
    </row>
    <row r="16" spans="2:12" ht="30" customHeight="1" x14ac:dyDescent="0.3">
      <c r="B16" s="37" t="str">
        <f t="shared" si="4"/>
        <v>IRadio</v>
      </c>
      <c r="C16" s="2">
        <f>IF(ISTEXT(D16),MAX($C$4:$C15)+1,"")</f>
        <v>12</v>
      </c>
      <c r="D16" s="159" t="s">
        <v>9</v>
      </c>
      <c r="E16" s="55" t="s">
        <v>1261</v>
      </c>
      <c r="F16" s="176" t="s">
        <v>43</v>
      </c>
      <c r="G16" s="177" t="s">
        <v>80</v>
      </c>
      <c r="H16" s="185">
        <f>COUNTIFS(D:D,"=Important",F:F,"=Exception")</f>
        <v>0</v>
      </c>
      <c r="I16" s="188">
        <f t="shared" si="2"/>
        <v>3</v>
      </c>
      <c r="J16" s="189">
        <f t="shared" si="3"/>
        <v>0</v>
      </c>
      <c r="K16" s="181">
        <f t="shared" si="0"/>
        <v>0</v>
      </c>
      <c r="L16" s="38"/>
    </row>
    <row r="17" spans="2:12" ht="30" customHeight="1" x14ac:dyDescent="0.3">
      <c r="B17" s="37" t="str">
        <f t="shared" si="4"/>
        <v>IRadio</v>
      </c>
      <c r="C17" s="2">
        <f>IF(ISTEXT(D17),MAX($C$4:$C16)+1,"")</f>
        <v>13</v>
      </c>
      <c r="D17" s="159" t="s">
        <v>9</v>
      </c>
      <c r="E17" s="55" t="s">
        <v>847</v>
      </c>
      <c r="F17" s="176" t="s">
        <v>43</v>
      </c>
      <c r="G17" s="177" t="s">
        <v>82</v>
      </c>
      <c r="H17" s="185">
        <f>COUNTIFS(D:D,"=Minimal",F:F,"=Select From Drop Down")</f>
        <v>9</v>
      </c>
      <c r="I17" s="188">
        <f t="shared" si="2"/>
        <v>3</v>
      </c>
      <c r="J17" s="189">
        <f t="shared" si="3"/>
        <v>0</v>
      </c>
      <c r="K17" s="181">
        <f t="shared" si="0"/>
        <v>0</v>
      </c>
      <c r="L17" s="38"/>
    </row>
    <row r="18" spans="2:12" ht="30" customHeight="1" x14ac:dyDescent="0.3">
      <c r="B18" s="37" t="str">
        <f t="shared" si="4"/>
        <v>IRadio</v>
      </c>
      <c r="C18" s="2">
        <f>IF(ISTEXT(D18),MAX($C$4:$C17)+1,"")</f>
        <v>14</v>
      </c>
      <c r="D18" s="159" t="s">
        <v>9</v>
      </c>
      <c r="E18" s="55" t="s">
        <v>848</v>
      </c>
      <c r="F18" s="176" t="s">
        <v>43</v>
      </c>
      <c r="G18" s="177" t="s">
        <v>84</v>
      </c>
      <c r="H18" s="185">
        <f>COUNTIFS(D:D,"=Minimal",F:F,"=Function Available")</f>
        <v>0</v>
      </c>
      <c r="I18" s="188">
        <f t="shared" si="2"/>
        <v>3</v>
      </c>
      <c r="J18" s="189">
        <f t="shared" si="3"/>
        <v>0</v>
      </c>
      <c r="K18" s="181">
        <f t="shared" si="0"/>
        <v>0</v>
      </c>
      <c r="L18" s="38"/>
    </row>
    <row r="19" spans="2:12" ht="30" customHeight="1" x14ac:dyDescent="0.3">
      <c r="B19" s="37" t="str">
        <f t="shared" si="4"/>
        <v>IRadio</v>
      </c>
      <c r="C19" s="2">
        <f>IF(ISTEXT(D19),MAX($C$4:$C18)+1,"")</f>
        <v>15</v>
      </c>
      <c r="D19" s="159" t="s">
        <v>10</v>
      </c>
      <c r="E19" s="55" t="s">
        <v>849</v>
      </c>
      <c r="F19" s="176" t="s">
        <v>43</v>
      </c>
      <c r="G19" s="177" t="s">
        <v>86</v>
      </c>
      <c r="H19" s="185">
        <f>COUNTIFS(D:D,"=Minimal",F:F,"=Function Not Available")</f>
        <v>0</v>
      </c>
      <c r="I19" s="188">
        <f t="shared" si="2"/>
        <v>2</v>
      </c>
      <c r="J19" s="189">
        <f t="shared" si="3"/>
        <v>0</v>
      </c>
      <c r="K19" s="181">
        <f t="shared" si="0"/>
        <v>0</v>
      </c>
      <c r="L19" s="38"/>
    </row>
    <row r="20" spans="2:12" ht="30" customHeight="1" x14ac:dyDescent="0.3">
      <c r="B20" s="37" t="str">
        <f t="shared" si="4"/>
        <v>IRadio</v>
      </c>
      <c r="C20" s="2">
        <f>IF(ISTEXT(D20),MAX($C$4:$C19)+1,"")</f>
        <v>16</v>
      </c>
      <c r="D20" s="159" t="s">
        <v>11</v>
      </c>
      <c r="E20" s="55" t="s">
        <v>850</v>
      </c>
      <c r="F20" s="176" t="s">
        <v>43</v>
      </c>
      <c r="G20" s="177" t="s">
        <v>88</v>
      </c>
      <c r="H20" s="185">
        <f>COUNTIFS(D:D,"=Minimal",F:F,"=Exception")</f>
        <v>0</v>
      </c>
      <c r="I20" s="188">
        <f t="shared" si="2"/>
        <v>1</v>
      </c>
      <c r="J20" s="189">
        <f t="shared" si="3"/>
        <v>0</v>
      </c>
      <c r="K20" s="181">
        <f t="shared" si="0"/>
        <v>0</v>
      </c>
      <c r="L20" s="38"/>
    </row>
    <row r="21" spans="2:12" ht="41.4" x14ac:dyDescent="0.3">
      <c r="B21" s="37" t="str">
        <f t="shared" si="4"/>
        <v>IRadio</v>
      </c>
      <c r="C21" s="2">
        <f>IF(ISTEXT(D21),MAX($C$4:$C20)+1,"")</f>
        <v>17</v>
      </c>
      <c r="D21" s="159" t="s">
        <v>10</v>
      </c>
      <c r="E21" s="55" t="s">
        <v>94</v>
      </c>
      <c r="F21" s="176" t="s">
        <v>43</v>
      </c>
      <c r="G21" s="177"/>
      <c r="H21" s="184"/>
      <c r="I21" s="188">
        <f t="shared" si="2"/>
        <v>2</v>
      </c>
      <c r="J21" s="189">
        <f t="shared" si="3"/>
        <v>0</v>
      </c>
      <c r="K21" s="181">
        <f t="shared" si="0"/>
        <v>0</v>
      </c>
      <c r="L21" s="38"/>
    </row>
    <row r="22" spans="2:12" ht="41.4" x14ac:dyDescent="0.3">
      <c r="B22" s="164" t="str">
        <f t="shared" si="4"/>
        <v>IRadio</v>
      </c>
      <c r="C22" s="165">
        <f>IF(ISTEXT(D22),MAX($C$4:$C21)+1,"")</f>
        <v>18</v>
      </c>
      <c r="D22" s="335" t="s">
        <v>11</v>
      </c>
      <c r="E22" s="336" t="s">
        <v>851</v>
      </c>
      <c r="F22" s="317" t="s">
        <v>43</v>
      </c>
      <c r="G22" s="177"/>
      <c r="H22" s="184"/>
      <c r="I22" s="188">
        <f t="shared" si="2"/>
        <v>1</v>
      </c>
      <c r="J22" s="189">
        <f t="shared" si="3"/>
        <v>0</v>
      </c>
      <c r="K22" s="181">
        <f t="shared" si="0"/>
        <v>0</v>
      </c>
      <c r="L22" s="39"/>
    </row>
    <row r="23" spans="2:12" ht="30" customHeight="1" x14ac:dyDescent="0.3">
      <c r="B23" s="260" t="str">
        <f t="shared" si="4"/>
        <v>IRadio</v>
      </c>
      <c r="C23" s="260">
        <f>IF(ISTEXT(D23),MAX($C$4:$C22)+1,"")</f>
        <v>19</v>
      </c>
      <c r="D23" s="261" t="s">
        <v>11</v>
      </c>
      <c r="E23" s="36" t="s">
        <v>852</v>
      </c>
      <c r="F23" s="182" t="s">
        <v>43</v>
      </c>
      <c r="G23" s="192"/>
      <c r="H23" s="193"/>
      <c r="I23" s="190">
        <f t="shared" si="2"/>
        <v>1</v>
      </c>
      <c r="J23" s="191">
        <f t="shared" si="3"/>
        <v>0</v>
      </c>
      <c r="K23" s="341">
        <f t="shared" si="0"/>
        <v>0</v>
      </c>
      <c r="L23" s="68"/>
    </row>
    <row r="24" spans="2:12" ht="15.6" x14ac:dyDescent="0.3">
      <c r="B24" s="67" t="s">
        <v>853</v>
      </c>
      <c r="C24" s="67"/>
      <c r="D24" s="67"/>
      <c r="E24" s="67"/>
      <c r="F24" s="67"/>
      <c r="G24" s="76"/>
      <c r="H24" s="76"/>
      <c r="I24" s="76"/>
      <c r="J24" s="76"/>
      <c r="K24" s="31"/>
      <c r="L24" s="67"/>
    </row>
    <row r="25" spans="2:12" ht="55.2" x14ac:dyDescent="0.3">
      <c r="B25" s="37" t="str">
        <f t="shared" si="4"/>
        <v>IRadio</v>
      </c>
      <c r="C25" s="2">
        <f>IF(ISTEXT(D25),MAX($C$4:$C23)+1,"")</f>
        <v>20</v>
      </c>
      <c r="D25" s="159" t="s">
        <v>9</v>
      </c>
      <c r="E25" s="337" t="s">
        <v>1268</v>
      </c>
      <c r="F25" s="176" t="s">
        <v>43</v>
      </c>
      <c r="G25" s="186"/>
      <c r="H25" s="234"/>
      <c r="I25" s="179">
        <f t="shared" si="2"/>
        <v>3</v>
      </c>
      <c r="J25" s="180">
        <f t="shared" si="3"/>
        <v>0</v>
      </c>
      <c r="K25" s="181">
        <f t="shared" si="0"/>
        <v>0</v>
      </c>
      <c r="L25" s="38"/>
    </row>
    <row r="26" spans="2:12" ht="30" customHeight="1" x14ac:dyDescent="0.3">
      <c r="B26" s="37" t="str">
        <f t="shared" si="4"/>
        <v>IRadio</v>
      </c>
      <c r="C26" s="2">
        <f>IF(ISTEXT(D26),MAX($C$4:$C25)+1,"")</f>
        <v>21</v>
      </c>
      <c r="D26" s="159" t="s">
        <v>9</v>
      </c>
      <c r="E26" s="60" t="s">
        <v>854</v>
      </c>
      <c r="F26" s="176" t="s">
        <v>43</v>
      </c>
      <c r="G26" s="192"/>
      <c r="H26" s="193"/>
      <c r="I26" s="190">
        <f t="shared" si="2"/>
        <v>3</v>
      </c>
      <c r="J26" s="191">
        <f t="shared" si="3"/>
        <v>0</v>
      </c>
      <c r="K26" s="181">
        <f t="shared" si="0"/>
        <v>0</v>
      </c>
      <c r="L26" s="38"/>
    </row>
    <row r="27" spans="2:12" ht="30" customHeight="1" x14ac:dyDescent="0.3">
      <c r="B27" s="40" t="str">
        <f t="shared" si="4"/>
        <v/>
      </c>
      <c r="C27" s="1" t="str">
        <f>IF(ISTEXT(D27),MAX($C$6:$C26)+1,"")</f>
        <v/>
      </c>
      <c r="D27" s="3"/>
      <c r="E27" s="333" t="s">
        <v>855</v>
      </c>
      <c r="F27" s="115"/>
      <c r="G27" s="31"/>
      <c r="H27" s="31"/>
      <c r="I27" s="31"/>
      <c r="J27" s="31"/>
      <c r="K27" s="31"/>
      <c r="L27" s="31"/>
    </row>
    <row r="28" spans="2:12" ht="30" customHeight="1" x14ac:dyDescent="0.3">
      <c r="B28" s="37" t="str">
        <f t="shared" si="4"/>
        <v>IRadio</v>
      </c>
      <c r="C28" s="2">
        <f>IF(ISTEXT(D28),MAX($C$4:$C26)+1,"")</f>
        <v>22</v>
      </c>
      <c r="D28" s="159" t="s">
        <v>9</v>
      </c>
      <c r="E28" s="338" t="s">
        <v>841</v>
      </c>
      <c r="F28" s="176" t="s">
        <v>43</v>
      </c>
      <c r="G28" s="186"/>
      <c r="H28" s="234"/>
      <c r="I28" s="179">
        <f t="shared" si="2"/>
        <v>3</v>
      </c>
      <c r="J28" s="180">
        <f t="shared" si="3"/>
        <v>0</v>
      </c>
      <c r="K28" s="181">
        <f t="shared" si="0"/>
        <v>0</v>
      </c>
      <c r="L28" s="38"/>
    </row>
    <row r="29" spans="2:12" ht="30" customHeight="1" x14ac:dyDescent="0.3">
      <c r="B29" s="37" t="str">
        <f t="shared" si="4"/>
        <v>IRadio</v>
      </c>
      <c r="C29" s="2">
        <f>IF(ISTEXT(D29),MAX($C$4:$C28)+1,"")</f>
        <v>23</v>
      </c>
      <c r="D29" s="159" t="s">
        <v>9</v>
      </c>
      <c r="E29" s="334" t="s">
        <v>856</v>
      </c>
      <c r="F29" s="176" t="s">
        <v>43</v>
      </c>
      <c r="G29" s="177"/>
      <c r="H29" s="184"/>
      <c r="I29" s="188">
        <f t="shared" si="2"/>
        <v>3</v>
      </c>
      <c r="J29" s="189">
        <f t="shared" si="3"/>
        <v>0</v>
      </c>
      <c r="K29" s="181">
        <f t="shared" si="0"/>
        <v>0</v>
      </c>
      <c r="L29" s="38"/>
    </row>
    <row r="30" spans="2:12" ht="30" customHeight="1" x14ac:dyDescent="0.3">
      <c r="B30" s="37" t="str">
        <f t="shared" si="4"/>
        <v>IRadio</v>
      </c>
      <c r="C30" s="2">
        <f>IF(ISTEXT(D30),MAX($C$4:$C29)+1,"")</f>
        <v>24</v>
      </c>
      <c r="D30" s="159" t="s">
        <v>9</v>
      </c>
      <c r="E30" s="334" t="s">
        <v>857</v>
      </c>
      <c r="F30" s="176" t="s">
        <v>43</v>
      </c>
      <c r="G30" s="177"/>
      <c r="H30" s="184"/>
      <c r="I30" s="188">
        <f t="shared" si="2"/>
        <v>3</v>
      </c>
      <c r="J30" s="189">
        <f t="shared" si="3"/>
        <v>0</v>
      </c>
      <c r="K30" s="181">
        <f t="shared" si="0"/>
        <v>0</v>
      </c>
      <c r="L30" s="38"/>
    </row>
    <row r="31" spans="2:12" ht="30" customHeight="1" x14ac:dyDescent="0.3">
      <c r="B31" s="37" t="str">
        <f t="shared" si="4"/>
        <v>IRadio</v>
      </c>
      <c r="C31" s="2">
        <f>IF(ISTEXT(D31),MAX($C$4:$C30)+1,"")</f>
        <v>25</v>
      </c>
      <c r="D31" s="159" t="s">
        <v>9</v>
      </c>
      <c r="E31" s="334" t="s">
        <v>858</v>
      </c>
      <c r="F31" s="176" t="s">
        <v>43</v>
      </c>
      <c r="G31" s="177"/>
      <c r="H31" s="184"/>
      <c r="I31" s="188">
        <f t="shared" si="2"/>
        <v>3</v>
      </c>
      <c r="J31" s="189">
        <f t="shared" si="3"/>
        <v>0</v>
      </c>
      <c r="K31" s="181">
        <f t="shared" si="0"/>
        <v>0</v>
      </c>
      <c r="L31" s="38"/>
    </row>
    <row r="32" spans="2:12" ht="30" customHeight="1" x14ac:dyDescent="0.3">
      <c r="B32" s="37" t="str">
        <f t="shared" si="4"/>
        <v>IRadio</v>
      </c>
      <c r="C32" s="2">
        <f>IF(ISTEXT(D32),MAX($C$4:$C31)+1,"")</f>
        <v>26</v>
      </c>
      <c r="D32" s="159" t="s">
        <v>9</v>
      </c>
      <c r="E32" s="334" t="s">
        <v>859</v>
      </c>
      <c r="F32" s="176" t="s">
        <v>43</v>
      </c>
      <c r="G32" s="177"/>
      <c r="H32" s="184"/>
      <c r="I32" s="188">
        <f t="shared" si="2"/>
        <v>3</v>
      </c>
      <c r="J32" s="189">
        <f t="shared" si="3"/>
        <v>0</v>
      </c>
      <c r="K32" s="181">
        <f t="shared" si="0"/>
        <v>0</v>
      </c>
      <c r="L32" s="38"/>
    </row>
    <row r="33" spans="2:12" ht="30" customHeight="1" x14ac:dyDescent="0.3">
      <c r="B33" s="37" t="str">
        <f t="shared" si="4"/>
        <v>IRadio</v>
      </c>
      <c r="C33" s="2">
        <f>IF(ISTEXT(D33),MAX($C$4:$C32)+1,"")</f>
        <v>27</v>
      </c>
      <c r="D33" s="159" t="s">
        <v>9</v>
      </c>
      <c r="E33" s="334" t="s">
        <v>860</v>
      </c>
      <c r="F33" s="176" t="s">
        <v>43</v>
      </c>
      <c r="G33" s="177"/>
      <c r="H33" s="184"/>
      <c r="I33" s="188">
        <f t="shared" si="2"/>
        <v>3</v>
      </c>
      <c r="J33" s="189">
        <f t="shared" si="3"/>
        <v>0</v>
      </c>
      <c r="K33" s="181">
        <f t="shared" si="0"/>
        <v>0</v>
      </c>
      <c r="L33" s="38"/>
    </row>
    <row r="34" spans="2:12" ht="30" customHeight="1" x14ac:dyDescent="0.3">
      <c r="B34" s="37" t="str">
        <f t="shared" si="4"/>
        <v>IRadio</v>
      </c>
      <c r="C34" s="2">
        <f>IF(ISTEXT(D34),MAX($C$4:$C33)+1,"")</f>
        <v>28</v>
      </c>
      <c r="D34" s="159" t="s">
        <v>9</v>
      </c>
      <c r="E34" s="334" t="s">
        <v>861</v>
      </c>
      <c r="F34" s="176" t="s">
        <v>43</v>
      </c>
      <c r="G34" s="177"/>
      <c r="H34" s="184"/>
      <c r="I34" s="188">
        <f t="shared" si="2"/>
        <v>3</v>
      </c>
      <c r="J34" s="189">
        <f t="shared" si="3"/>
        <v>0</v>
      </c>
      <c r="K34" s="181">
        <f t="shared" si="0"/>
        <v>0</v>
      </c>
      <c r="L34" s="38"/>
    </row>
    <row r="35" spans="2:12" ht="30" customHeight="1" x14ac:dyDescent="0.3">
      <c r="B35" s="37" t="str">
        <f t="shared" si="4"/>
        <v>IRadio</v>
      </c>
      <c r="C35" s="2">
        <f>IF(ISTEXT(D35),MAX($C$4:$C34)+1,"")</f>
        <v>29</v>
      </c>
      <c r="D35" s="159" t="s">
        <v>9</v>
      </c>
      <c r="E35" s="334" t="s">
        <v>862</v>
      </c>
      <c r="F35" s="176" t="s">
        <v>43</v>
      </c>
      <c r="G35" s="177"/>
      <c r="H35" s="184"/>
      <c r="I35" s="188">
        <f t="shared" si="2"/>
        <v>3</v>
      </c>
      <c r="J35" s="189">
        <f t="shared" si="3"/>
        <v>0</v>
      </c>
      <c r="K35" s="181">
        <f t="shared" si="0"/>
        <v>0</v>
      </c>
      <c r="L35" s="38"/>
    </row>
    <row r="36" spans="2:12" ht="30" customHeight="1" x14ac:dyDescent="0.3">
      <c r="B36" s="37" t="str">
        <f t="shared" si="4"/>
        <v>IRadio</v>
      </c>
      <c r="C36" s="2">
        <f>IF(ISTEXT(D36),MAX($C$4:$C35)+1,"")</f>
        <v>30</v>
      </c>
      <c r="D36" s="159" t="s">
        <v>9</v>
      </c>
      <c r="E36" s="334" t="s">
        <v>863</v>
      </c>
      <c r="F36" s="176" t="s">
        <v>43</v>
      </c>
      <c r="G36" s="177"/>
      <c r="H36" s="184"/>
      <c r="I36" s="188">
        <f t="shared" si="2"/>
        <v>3</v>
      </c>
      <c r="J36" s="189">
        <f t="shared" si="3"/>
        <v>0</v>
      </c>
      <c r="K36" s="181">
        <f t="shared" si="0"/>
        <v>0</v>
      </c>
      <c r="L36" s="38"/>
    </row>
    <row r="37" spans="2:12" ht="30" customHeight="1" x14ac:dyDescent="0.3">
      <c r="B37" s="37" t="str">
        <f t="shared" si="4"/>
        <v>IRadio</v>
      </c>
      <c r="C37" s="2">
        <f>IF(ISTEXT(D37),MAX($C$4:$C36)+1,"")</f>
        <v>31</v>
      </c>
      <c r="D37" s="159" t="s">
        <v>11</v>
      </c>
      <c r="E37" s="334" t="s">
        <v>864</v>
      </c>
      <c r="F37" s="176" t="s">
        <v>43</v>
      </c>
      <c r="G37" s="177"/>
      <c r="H37" s="184"/>
      <c r="I37" s="188">
        <f t="shared" si="2"/>
        <v>1</v>
      </c>
      <c r="J37" s="189">
        <f t="shared" si="3"/>
        <v>0</v>
      </c>
      <c r="K37" s="181">
        <f t="shared" si="0"/>
        <v>0</v>
      </c>
      <c r="L37" s="38"/>
    </row>
    <row r="38" spans="2:12" ht="30" customHeight="1" x14ac:dyDescent="0.3">
      <c r="B38" s="37" t="str">
        <f t="shared" si="4"/>
        <v>IRadio</v>
      </c>
      <c r="C38" s="2">
        <f>IF(ISTEXT(D38),MAX($C$4:$C37)+1,"")</f>
        <v>32</v>
      </c>
      <c r="D38" s="159" t="s">
        <v>9</v>
      </c>
      <c r="E38" s="334" t="s">
        <v>499</v>
      </c>
      <c r="F38" s="176" t="s">
        <v>43</v>
      </c>
      <c r="G38" s="177"/>
      <c r="H38" s="184"/>
      <c r="I38" s="188">
        <f t="shared" si="2"/>
        <v>3</v>
      </c>
      <c r="J38" s="189">
        <f t="shared" si="3"/>
        <v>0</v>
      </c>
      <c r="K38" s="181">
        <f t="shared" si="0"/>
        <v>0</v>
      </c>
      <c r="L38" s="38"/>
    </row>
    <row r="39" spans="2:12" ht="30" customHeight="1" x14ac:dyDescent="0.3">
      <c r="B39" s="37" t="str">
        <f t="shared" si="4"/>
        <v>IRadio</v>
      </c>
      <c r="C39" s="2">
        <f>IF(ISTEXT(D39),MAX($C$4:$C38)+1,"")</f>
        <v>33</v>
      </c>
      <c r="D39" s="159" t="s">
        <v>10</v>
      </c>
      <c r="E39" s="334" t="s">
        <v>1269</v>
      </c>
      <c r="F39" s="176" t="s">
        <v>43</v>
      </c>
      <c r="G39" s="177"/>
      <c r="H39" s="184"/>
      <c r="I39" s="188">
        <f t="shared" si="2"/>
        <v>2</v>
      </c>
      <c r="J39" s="189">
        <f t="shared" si="3"/>
        <v>0</v>
      </c>
      <c r="K39" s="181">
        <f t="shared" si="0"/>
        <v>0</v>
      </c>
      <c r="L39" s="38"/>
    </row>
    <row r="40" spans="2:12" ht="30" customHeight="1" x14ac:dyDescent="0.3">
      <c r="B40" s="37" t="str">
        <f t="shared" si="4"/>
        <v>IRadio</v>
      </c>
      <c r="C40" s="2">
        <f>IF(ISTEXT(D40),MAX($C$4:$C39)+1,"")</f>
        <v>34</v>
      </c>
      <c r="D40" s="159" t="s">
        <v>11</v>
      </c>
      <c r="E40" s="334" t="s">
        <v>865</v>
      </c>
      <c r="F40" s="176" t="s">
        <v>43</v>
      </c>
      <c r="G40" s="177"/>
      <c r="H40" s="184"/>
      <c r="I40" s="188">
        <f t="shared" si="2"/>
        <v>1</v>
      </c>
      <c r="J40" s="189">
        <f t="shared" si="3"/>
        <v>0</v>
      </c>
      <c r="K40" s="181">
        <f t="shared" si="0"/>
        <v>0</v>
      </c>
      <c r="L40" s="38"/>
    </row>
    <row r="41" spans="2:12" ht="30" customHeight="1" x14ac:dyDescent="0.3">
      <c r="B41" s="37" t="str">
        <f t="shared" si="4"/>
        <v>IRadio</v>
      </c>
      <c r="C41" s="2">
        <f>IF(ISTEXT(D41),MAX($C$4:$C40)+1,"")</f>
        <v>35</v>
      </c>
      <c r="D41" s="159" t="s">
        <v>11</v>
      </c>
      <c r="E41" s="36" t="s">
        <v>866</v>
      </c>
      <c r="F41" s="176" t="s">
        <v>43</v>
      </c>
      <c r="G41" s="177"/>
      <c r="H41" s="184"/>
      <c r="I41" s="188">
        <f t="shared" si="2"/>
        <v>1</v>
      </c>
      <c r="J41" s="189">
        <f t="shared" si="3"/>
        <v>0</v>
      </c>
      <c r="K41" s="181">
        <f t="shared" si="0"/>
        <v>0</v>
      </c>
      <c r="L41" s="38"/>
    </row>
    <row r="42" spans="2:12" ht="30" customHeight="1" x14ac:dyDescent="0.3">
      <c r="B42" s="37" t="str">
        <f t="shared" si="4"/>
        <v>IRadio</v>
      </c>
      <c r="C42" s="2">
        <f>IF(ISTEXT(D42),MAX($C$4:$C41)+1,"")</f>
        <v>36</v>
      </c>
      <c r="D42" s="159" t="s">
        <v>11</v>
      </c>
      <c r="E42" s="36" t="s">
        <v>867</v>
      </c>
      <c r="F42" s="176" t="s">
        <v>43</v>
      </c>
      <c r="G42" s="177"/>
      <c r="H42" s="184"/>
      <c r="I42" s="188">
        <f t="shared" si="2"/>
        <v>1</v>
      </c>
      <c r="J42" s="189">
        <f t="shared" si="3"/>
        <v>0</v>
      </c>
      <c r="K42" s="181">
        <f t="shared" si="0"/>
        <v>0</v>
      </c>
      <c r="L42" s="38"/>
    </row>
    <row r="43" spans="2:12" ht="30" customHeight="1" x14ac:dyDescent="0.3">
      <c r="B43" s="37" t="str">
        <f t="shared" si="4"/>
        <v>IRadio</v>
      </c>
      <c r="C43" s="2">
        <f>IF(ISTEXT(D43),MAX($C$4:$C42)+1,"")</f>
        <v>37</v>
      </c>
      <c r="D43" s="159" t="s">
        <v>10</v>
      </c>
      <c r="E43" s="36" t="s">
        <v>1263</v>
      </c>
      <c r="F43" s="176" t="s">
        <v>43</v>
      </c>
      <c r="G43" s="177"/>
      <c r="H43" s="184"/>
      <c r="I43" s="188">
        <f t="shared" si="2"/>
        <v>2</v>
      </c>
      <c r="J43" s="189">
        <f t="shared" si="3"/>
        <v>0</v>
      </c>
      <c r="K43" s="181">
        <f t="shared" si="0"/>
        <v>0</v>
      </c>
      <c r="L43" s="38"/>
    </row>
    <row r="44" spans="2:12" ht="30" customHeight="1" x14ac:dyDescent="0.3">
      <c r="B44" s="37" t="str">
        <f t="shared" si="4"/>
        <v>IRadio</v>
      </c>
      <c r="C44" s="2">
        <f>IF(ISTEXT(D44),MAX($C$4:$C43)+1,"")</f>
        <v>38</v>
      </c>
      <c r="D44" s="159" t="s">
        <v>10</v>
      </c>
      <c r="E44" s="36" t="s">
        <v>868</v>
      </c>
      <c r="F44" s="225" t="s">
        <v>43</v>
      </c>
      <c r="G44" s="177"/>
      <c r="H44" s="184"/>
      <c r="I44" s="188">
        <f>VLOOKUP($D44,SpecData,2,FALSE)</f>
        <v>2</v>
      </c>
      <c r="J44" s="189">
        <f>VLOOKUP($F44,AvailabilityData,2,FALSE)</f>
        <v>0</v>
      </c>
      <c r="K44" s="181">
        <f t="shared" si="0"/>
        <v>0</v>
      </c>
      <c r="L44" s="38"/>
    </row>
    <row r="45" spans="2:12" ht="30" customHeight="1" x14ac:dyDescent="0.3">
      <c r="B45" s="37" t="str">
        <f t="shared" si="4"/>
        <v>IRadio</v>
      </c>
      <c r="C45" s="2">
        <f>IF(ISTEXT(D45),MAX($C$4:$C44)+1,"")</f>
        <v>39</v>
      </c>
      <c r="D45" s="159" t="s">
        <v>9</v>
      </c>
      <c r="E45" s="336" t="s">
        <v>1264</v>
      </c>
      <c r="F45" s="176" t="s">
        <v>43</v>
      </c>
      <c r="G45" s="177"/>
      <c r="H45" s="184"/>
      <c r="I45" s="188">
        <f t="shared" si="2"/>
        <v>3</v>
      </c>
      <c r="J45" s="189">
        <f t="shared" si="3"/>
        <v>0</v>
      </c>
      <c r="K45" s="181">
        <f t="shared" si="0"/>
        <v>0</v>
      </c>
      <c r="L45" s="38"/>
    </row>
    <row r="46" spans="2:12" ht="30" customHeight="1" x14ac:dyDescent="0.3">
      <c r="B46" s="40" t="str">
        <f t="shared" ref="B46" si="5">IF(C46="","",$B$4)</f>
        <v/>
      </c>
      <c r="C46" s="1" t="str">
        <f>IF(ISTEXT(D46),MAX($C$6:$C45)+1,"")</f>
        <v/>
      </c>
      <c r="D46" s="3"/>
      <c r="E46" s="333" t="s">
        <v>869</v>
      </c>
      <c r="F46" s="115"/>
      <c r="G46" s="31"/>
      <c r="H46" s="31"/>
      <c r="I46" s="31"/>
      <c r="J46" s="31"/>
      <c r="K46" s="31"/>
      <c r="L46" s="31"/>
    </row>
    <row r="47" spans="2:12" ht="30" customHeight="1" x14ac:dyDescent="0.3">
      <c r="B47" s="37" t="str">
        <f t="shared" si="4"/>
        <v>IRadio</v>
      </c>
      <c r="C47" s="2">
        <f>IF(ISTEXT(D47),MAX($C$4:$C45)+1,"")</f>
        <v>40</v>
      </c>
      <c r="D47" s="159" t="s">
        <v>9</v>
      </c>
      <c r="E47" s="338" t="s">
        <v>870</v>
      </c>
      <c r="F47" s="225" t="s">
        <v>43</v>
      </c>
      <c r="G47" s="177"/>
      <c r="H47" s="184"/>
      <c r="I47" s="188">
        <f>VLOOKUP($D47,SpecData,2,FALSE)</f>
        <v>3</v>
      </c>
      <c r="J47" s="189">
        <f>VLOOKUP($F47,AvailabilityData,2,FALSE)</f>
        <v>0</v>
      </c>
      <c r="K47" s="181">
        <f t="shared" si="0"/>
        <v>0</v>
      </c>
      <c r="L47" s="38"/>
    </row>
    <row r="48" spans="2:12" ht="30" customHeight="1" x14ac:dyDescent="0.3">
      <c r="B48" s="164" t="str">
        <f t="shared" si="4"/>
        <v>IRadio</v>
      </c>
      <c r="C48" s="2">
        <f>IF(ISTEXT(D48),MAX($C$4:$C47)+1,"")</f>
        <v>41</v>
      </c>
      <c r="D48" s="335" t="s">
        <v>9</v>
      </c>
      <c r="E48" s="334" t="s">
        <v>871</v>
      </c>
      <c r="F48" s="317" t="s">
        <v>43</v>
      </c>
      <c r="G48" s="192"/>
      <c r="H48" s="193"/>
      <c r="I48" s="190">
        <f t="shared" si="2"/>
        <v>3</v>
      </c>
      <c r="J48" s="191">
        <f t="shared" si="3"/>
        <v>0</v>
      </c>
      <c r="K48" s="181">
        <f t="shared" si="0"/>
        <v>0</v>
      </c>
      <c r="L48" s="39"/>
    </row>
    <row r="49" spans="2:13" s="340" customFormat="1" ht="30" customHeight="1" x14ac:dyDescent="0.3">
      <c r="B49" s="260" t="str">
        <f t="shared" ref="B49:B57" si="6">IF(C49="","",$B$4)</f>
        <v>IRadio</v>
      </c>
      <c r="C49" s="260">
        <f>IF(ISTEXT(D49),MAX($C$4:$C48)+1,"")</f>
        <v>42</v>
      </c>
      <c r="D49" s="261" t="s">
        <v>10</v>
      </c>
      <c r="E49" s="334" t="s">
        <v>872</v>
      </c>
      <c r="F49" s="182" t="s">
        <v>43</v>
      </c>
      <c r="G49" s="177"/>
      <c r="H49" s="184"/>
      <c r="I49" s="188">
        <f t="shared" si="2"/>
        <v>2</v>
      </c>
      <c r="J49" s="189">
        <f t="shared" si="3"/>
        <v>0</v>
      </c>
      <c r="K49" s="181">
        <f t="shared" si="0"/>
        <v>0</v>
      </c>
      <c r="L49" s="68"/>
      <c r="M49" s="339"/>
    </row>
    <row r="50" spans="2:13" s="340" customFormat="1" ht="30" customHeight="1" x14ac:dyDescent="0.3">
      <c r="B50" s="260" t="str">
        <f t="shared" si="6"/>
        <v>IRadio</v>
      </c>
      <c r="C50" s="260">
        <f>IF(ISTEXT(D50),MAX($C$4:$C49)+1,"")</f>
        <v>43</v>
      </c>
      <c r="D50" s="261" t="s">
        <v>10</v>
      </c>
      <c r="E50" s="334" t="s">
        <v>873</v>
      </c>
      <c r="F50" s="182" t="s">
        <v>43</v>
      </c>
      <c r="G50" s="177"/>
      <c r="H50" s="184"/>
      <c r="I50" s="188">
        <f t="shared" si="2"/>
        <v>2</v>
      </c>
      <c r="J50" s="189">
        <f t="shared" si="3"/>
        <v>0</v>
      </c>
      <c r="K50" s="181">
        <f t="shared" si="0"/>
        <v>0</v>
      </c>
      <c r="L50" s="68"/>
      <c r="M50" s="339"/>
    </row>
    <row r="51" spans="2:13" s="340" customFormat="1" ht="30" customHeight="1" x14ac:dyDescent="0.3">
      <c r="B51" s="260" t="str">
        <f t="shared" si="6"/>
        <v>IRadio</v>
      </c>
      <c r="C51" s="260">
        <f>IF(ISTEXT(D51),MAX($C$4:$C50)+1,"")</f>
        <v>44</v>
      </c>
      <c r="D51" s="261" t="s">
        <v>11</v>
      </c>
      <c r="E51" s="334" t="s">
        <v>874</v>
      </c>
      <c r="F51" s="182" t="s">
        <v>43</v>
      </c>
      <c r="G51" s="177"/>
      <c r="H51" s="184"/>
      <c r="I51" s="188">
        <f t="shared" si="2"/>
        <v>1</v>
      </c>
      <c r="J51" s="189">
        <f t="shared" si="3"/>
        <v>0</v>
      </c>
      <c r="K51" s="181">
        <f t="shared" si="0"/>
        <v>0</v>
      </c>
      <c r="L51" s="68"/>
      <c r="M51" s="339"/>
    </row>
    <row r="52" spans="2:13" s="340" customFormat="1" ht="30" customHeight="1" x14ac:dyDescent="0.3">
      <c r="B52" s="260" t="str">
        <f t="shared" si="6"/>
        <v>IRadio</v>
      </c>
      <c r="C52" s="260">
        <f>IF(ISTEXT(D52),MAX($C$4:$C51)+1,"")</f>
        <v>45</v>
      </c>
      <c r="D52" s="261" t="s">
        <v>11</v>
      </c>
      <c r="E52" s="256" t="s">
        <v>875</v>
      </c>
      <c r="F52" s="182" t="s">
        <v>43</v>
      </c>
      <c r="G52" s="177"/>
      <c r="H52" s="184"/>
      <c r="I52" s="188">
        <f t="shared" si="2"/>
        <v>1</v>
      </c>
      <c r="J52" s="189">
        <f t="shared" si="3"/>
        <v>0</v>
      </c>
      <c r="K52" s="181">
        <f t="shared" si="0"/>
        <v>0</v>
      </c>
      <c r="L52" s="68"/>
      <c r="M52" s="339"/>
    </row>
    <row r="53" spans="2:13" s="340" customFormat="1" ht="30" customHeight="1" x14ac:dyDescent="0.3">
      <c r="B53" s="260" t="str">
        <f t="shared" si="6"/>
        <v>IRadio</v>
      </c>
      <c r="C53" s="260">
        <f>IF(ISTEXT(D53),MAX($C$4:$C52)+1,"")</f>
        <v>46</v>
      </c>
      <c r="D53" s="261" t="s">
        <v>10</v>
      </c>
      <c r="E53" s="256" t="s">
        <v>876</v>
      </c>
      <c r="F53" s="182" t="s">
        <v>43</v>
      </c>
      <c r="G53" s="177"/>
      <c r="H53" s="184"/>
      <c r="I53" s="188">
        <f t="shared" si="2"/>
        <v>2</v>
      </c>
      <c r="J53" s="189">
        <f t="shared" si="3"/>
        <v>0</v>
      </c>
      <c r="K53" s="181">
        <f t="shared" si="0"/>
        <v>0</v>
      </c>
      <c r="L53" s="68"/>
      <c r="M53" s="339"/>
    </row>
    <row r="54" spans="2:13" s="340" customFormat="1" ht="30" customHeight="1" x14ac:dyDescent="0.3">
      <c r="B54" s="260" t="str">
        <f t="shared" si="6"/>
        <v>IRadio</v>
      </c>
      <c r="C54" s="260">
        <f>IF(ISTEXT(D54),MAX($C$4:$C53)+1,"")</f>
        <v>47</v>
      </c>
      <c r="D54" s="261" t="s">
        <v>10</v>
      </c>
      <c r="E54" s="256" t="s">
        <v>877</v>
      </c>
      <c r="F54" s="182" t="s">
        <v>43</v>
      </c>
      <c r="G54" s="177"/>
      <c r="H54" s="184"/>
      <c r="I54" s="188">
        <f t="shared" si="2"/>
        <v>2</v>
      </c>
      <c r="J54" s="189">
        <f t="shared" si="3"/>
        <v>0</v>
      </c>
      <c r="K54" s="181">
        <f t="shared" si="0"/>
        <v>0</v>
      </c>
      <c r="L54" s="68"/>
      <c r="M54" s="339"/>
    </row>
    <row r="55" spans="2:13" s="340" customFormat="1" ht="30" customHeight="1" x14ac:dyDescent="0.3">
      <c r="B55" s="260" t="str">
        <f t="shared" si="6"/>
        <v>IRadio</v>
      </c>
      <c r="C55" s="260">
        <f>IF(ISTEXT(D55),MAX($C$4:$C54)+1,"")</f>
        <v>48</v>
      </c>
      <c r="D55" s="261" t="s">
        <v>9</v>
      </c>
      <c r="E55" s="36" t="s">
        <v>1265</v>
      </c>
      <c r="F55" s="182" t="s">
        <v>43</v>
      </c>
      <c r="G55" s="177"/>
      <c r="H55" s="184"/>
      <c r="I55" s="188">
        <f t="shared" si="2"/>
        <v>3</v>
      </c>
      <c r="J55" s="189">
        <f t="shared" si="3"/>
        <v>0</v>
      </c>
      <c r="K55" s="181">
        <f t="shared" si="0"/>
        <v>0</v>
      </c>
      <c r="L55" s="68"/>
      <c r="M55" s="339"/>
    </row>
    <row r="56" spans="2:13" s="340" customFormat="1" ht="30" customHeight="1" x14ac:dyDescent="0.3">
      <c r="B56" s="260" t="str">
        <f t="shared" si="6"/>
        <v>IRadio</v>
      </c>
      <c r="C56" s="260">
        <f>IF(ISTEXT(D56),MAX($C$4:$C55)+1,"")</f>
        <v>49</v>
      </c>
      <c r="D56" s="261" t="s">
        <v>9</v>
      </c>
      <c r="E56" s="36" t="s">
        <v>1266</v>
      </c>
      <c r="F56" s="182" t="s">
        <v>43</v>
      </c>
      <c r="G56" s="177"/>
      <c r="H56" s="184"/>
      <c r="I56" s="188">
        <f t="shared" si="2"/>
        <v>3</v>
      </c>
      <c r="J56" s="189">
        <f t="shared" si="3"/>
        <v>0</v>
      </c>
      <c r="K56" s="181">
        <f t="shared" si="0"/>
        <v>0</v>
      </c>
      <c r="L56" s="68"/>
      <c r="M56" s="339"/>
    </row>
    <row r="57" spans="2:13" s="340" customFormat="1" ht="30" customHeight="1" x14ac:dyDescent="0.3">
      <c r="B57" s="260" t="str">
        <f t="shared" si="6"/>
        <v>IRadio</v>
      </c>
      <c r="C57" s="260">
        <f>IF(ISTEXT(D57),MAX($C$4:$C56)+1,"")</f>
        <v>50</v>
      </c>
      <c r="D57" s="261" t="s">
        <v>9</v>
      </c>
      <c r="E57" s="36" t="s">
        <v>1267</v>
      </c>
      <c r="F57" s="182" t="s">
        <v>43</v>
      </c>
      <c r="G57" s="177"/>
      <c r="H57" s="184"/>
      <c r="I57" s="188">
        <f t="shared" si="2"/>
        <v>3</v>
      </c>
      <c r="J57" s="189">
        <f t="shared" si="3"/>
        <v>0</v>
      </c>
      <c r="K57" s="181">
        <f t="shared" si="0"/>
        <v>0</v>
      </c>
      <c r="L57" s="68"/>
      <c r="M57" s="339"/>
    </row>
    <row r="58" spans="2:13" x14ac:dyDescent="0.3"/>
  </sheetData>
  <sheetProtection algorithmName="SHA-512" hashValue="y5NAFbEYowAbCIHA3SN80FhgXFXQ6wOxOTU9Emhv7rSbr4Bshocjc0Taej6OX9wApxktQHbEwlrQyyuKGaIxew==" saltValue="CBABXcqRaRNn4wsYZmsDjw==" spinCount="100000" sheet="1" selectLockedCells="1"/>
  <conditionalFormatting sqref="D4:D5 D7:D23 D25:D26">
    <cfRule type="cellIs" dxfId="101" priority="25" operator="equal">
      <formula>"Important"</formula>
    </cfRule>
    <cfRule type="cellIs" dxfId="100" priority="26" operator="equal">
      <formula>"Crucial"</formula>
    </cfRule>
    <cfRule type="cellIs" dxfId="99" priority="27" operator="equal">
      <formula>"N/A"</formula>
    </cfRule>
  </conditionalFormatting>
  <conditionalFormatting sqref="D28:D45 D47:D57">
    <cfRule type="cellIs" dxfId="98" priority="22" operator="equal">
      <formula>"Important"</formula>
    </cfRule>
    <cfRule type="cellIs" dxfId="97" priority="23" operator="equal">
      <formula>"Crucial"</formula>
    </cfRule>
    <cfRule type="cellIs" dxfId="96" priority="24" operator="equal">
      <formula>"N/A"</formula>
    </cfRule>
  </conditionalFormatting>
  <conditionalFormatting sqref="F4:F23">
    <cfRule type="cellIs" dxfId="95" priority="13" operator="equal">
      <formula>"Function Not Available"</formula>
    </cfRule>
    <cfRule type="cellIs" dxfId="94" priority="14" operator="equal">
      <formula>"Function Available"</formula>
    </cfRule>
    <cfRule type="cellIs" dxfId="93" priority="15" operator="equal">
      <formula>"Exception"</formula>
    </cfRule>
  </conditionalFormatting>
  <conditionalFormatting sqref="F25:F57">
    <cfRule type="cellIs" dxfId="92" priority="1" operator="equal">
      <formula>"Function Not Available"</formula>
    </cfRule>
    <cfRule type="cellIs" dxfId="91" priority="2" operator="equal">
      <formula>"Function Available"</formula>
    </cfRule>
    <cfRule type="cellIs" dxfId="90" priority="3" operator="equal">
      <formula>"Exception"</formula>
    </cfRule>
  </conditionalFormatting>
  <dataValidations count="3">
    <dataValidation type="list" allowBlank="1" showInputMessage="1" showErrorMessage="1" sqref="F4:F5" xr:uid="{00000000-0002-0000-1A00-000000000000}">
      <formula1>AvailabilityType</formula1>
    </dataValidation>
    <dataValidation type="list" allowBlank="1" showInputMessage="1" showErrorMessage="1" sqref="D4:D5 D7:D23 D25:D26 D28:D45 D47:D57" xr:uid="{00000000-0002-0000-1A00-000001000000}">
      <formula1>SpecType</formula1>
    </dataValidation>
    <dataValidation type="list" allowBlank="1" showInputMessage="1" showErrorMessage="1" errorTitle="Invalid specification type" error="Please enter a Specification type from the drop-down list." sqref="F7:F23 F25:F26 F28:F45 F47:F57" xr:uid="{00000000-0002-0000-1A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FFCC00"/>
  </sheetPr>
  <dimension ref="A1:M24"/>
  <sheetViews>
    <sheetView showGridLines="0" topLeftCell="A10" zoomScale="80" zoomScaleNormal="80" zoomScalePageLayoutView="40" workbookViewId="0">
      <selection activeCell="E15" sqref="E15"/>
    </sheetView>
  </sheetViews>
  <sheetFormatPr defaultColWidth="0" defaultRowHeight="14.4" zeroHeight="1" x14ac:dyDescent="0.3"/>
  <cols>
    <col min="1" max="1" width="2.441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6" customHeight="1" x14ac:dyDescent="0.3"/>
    <row r="2" spans="2:12" s="158" customFormat="1" ht="129" customHeight="1" thickBot="1" x14ac:dyDescent="0.3">
      <c r="B2" s="96" t="s">
        <v>44</v>
      </c>
      <c r="C2" s="97" t="s">
        <v>45</v>
      </c>
      <c r="D2" s="97" t="s">
        <v>46</v>
      </c>
      <c r="E2" s="97" t="s">
        <v>878</v>
      </c>
      <c r="F2" s="97" t="s">
        <v>42</v>
      </c>
      <c r="G2" s="98" t="s">
        <v>48</v>
      </c>
      <c r="H2" s="98" t="s">
        <v>49</v>
      </c>
      <c r="I2" s="99" t="s">
        <v>50</v>
      </c>
      <c r="J2" s="99" t="s">
        <v>51</v>
      </c>
      <c r="K2" s="100" t="s">
        <v>14</v>
      </c>
      <c r="L2" s="101" t="s">
        <v>52</v>
      </c>
    </row>
    <row r="3" spans="2:12" ht="16.2" thickBot="1" x14ac:dyDescent="0.35">
      <c r="B3" s="8" t="s">
        <v>879</v>
      </c>
      <c r="C3" s="8"/>
      <c r="D3" s="8"/>
      <c r="E3" s="8"/>
      <c r="F3" s="8"/>
      <c r="G3" s="34" t="s">
        <v>54</v>
      </c>
      <c r="H3" s="7">
        <f>COUNTA(D4:D501)</f>
        <v>19</v>
      </c>
      <c r="I3" s="24"/>
      <c r="J3" s="25" t="s">
        <v>55</v>
      </c>
      <c r="K3" s="26">
        <f>SUM(K4:K501)</f>
        <v>0</v>
      </c>
      <c r="L3" s="8"/>
    </row>
    <row r="4" spans="2:12" ht="59.25" customHeight="1" x14ac:dyDescent="0.3">
      <c r="B4" s="37" t="s">
        <v>880</v>
      </c>
      <c r="C4" s="2">
        <v>1</v>
      </c>
      <c r="D4" s="159" t="s">
        <v>11</v>
      </c>
      <c r="E4" s="36" t="s">
        <v>881</v>
      </c>
      <c r="F4" s="176" t="s">
        <v>43</v>
      </c>
      <c r="G4" s="177" t="s">
        <v>58</v>
      </c>
      <c r="H4" s="178">
        <f>COUNTIF(F4:F501,"Select from Drop Down")</f>
        <v>19</v>
      </c>
      <c r="I4" s="179">
        <f>VLOOKUP($D4,SpecData,2,FALSE)</f>
        <v>1</v>
      </c>
      <c r="J4" s="180">
        <f>VLOOKUP($F4,AvailabilityData,2,FALSE)</f>
        <v>0</v>
      </c>
      <c r="K4" s="181">
        <f>I4*J4</f>
        <v>0</v>
      </c>
      <c r="L4" s="38"/>
    </row>
    <row r="5" spans="2:12" ht="45" customHeight="1" x14ac:dyDescent="0.3">
      <c r="B5" s="37" t="str">
        <f>IF(C5="","",$B$4)</f>
        <v>IRMS</v>
      </c>
      <c r="C5" s="2">
        <v>2</v>
      </c>
      <c r="D5" s="159" t="s">
        <v>11</v>
      </c>
      <c r="E5" s="36" t="s">
        <v>882</v>
      </c>
      <c r="F5" s="176" t="s">
        <v>43</v>
      </c>
      <c r="G5" s="177" t="s">
        <v>60</v>
      </c>
      <c r="H5" s="178">
        <f>COUNTIF(F4:F501,"Function Available")</f>
        <v>0</v>
      </c>
      <c r="I5" s="179">
        <f>VLOOKUP($D5,SpecData,2,FALSE)</f>
        <v>1</v>
      </c>
      <c r="J5" s="180">
        <f>VLOOKUP($F5,AvailabilityData,2,FALSE)</f>
        <v>0</v>
      </c>
      <c r="K5" s="181">
        <f>I5*J5</f>
        <v>0</v>
      </c>
      <c r="L5" s="38"/>
    </row>
    <row r="6" spans="2:12" ht="45" customHeight="1" x14ac:dyDescent="0.3">
      <c r="B6" s="37" t="str">
        <f t="shared" ref="B6:B23" si="0">IF(C6="","",$B$4)</f>
        <v>IRMS</v>
      </c>
      <c r="C6" s="2">
        <v>3</v>
      </c>
      <c r="D6" s="159" t="s">
        <v>11</v>
      </c>
      <c r="E6" s="36" t="s">
        <v>883</v>
      </c>
      <c r="F6" s="176" t="s">
        <v>43</v>
      </c>
      <c r="G6" s="177" t="s">
        <v>62</v>
      </c>
      <c r="H6" s="184">
        <f>COUNTIF(F4:F501,"Function Not Available")</f>
        <v>0</v>
      </c>
      <c r="I6" s="179">
        <f t="shared" ref="I6:I12" si="1">VLOOKUP($D6,SpecData,2,FALSE)</f>
        <v>1</v>
      </c>
      <c r="J6" s="180">
        <f t="shared" ref="J6:J12" si="2">VLOOKUP($F6,AvailabilityData,2,FALSE)</f>
        <v>0</v>
      </c>
      <c r="K6" s="220">
        <f t="shared" ref="K6:K12" si="3">I6*J6</f>
        <v>0</v>
      </c>
      <c r="L6" s="38"/>
    </row>
    <row r="7" spans="2:12" ht="45" customHeight="1" x14ac:dyDescent="0.3">
      <c r="B7" s="37" t="str">
        <f t="shared" si="0"/>
        <v>IRMS</v>
      </c>
      <c r="C7" s="2">
        <f>IF(ISTEXT(D7),MAX($C$6:$C6)+1,"")</f>
        <v>4</v>
      </c>
      <c r="D7" s="159" t="s">
        <v>11</v>
      </c>
      <c r="E7" s="36" t="s">
        <v>884</v>
      </c>
      <c r="F7" s="176" t="s">
        <v>43</v>
      </c>
      <c r="G7" s="177" t="s">
        <v>64</v>
      </c>
      <c r="H7" s="184">
        <f>COUNTIF(F4:F501,"Exception")</f>
        <v>0</v>
      </c>
      <c r="I7" s="179">
        <f t="shared" si="1"/>
        <v>1</v>
      </c>
      <c r="J7" s="180">
        <f t="shared" si="2"/>
        <v>0</v>
      </c>
      <c r="K7" s="181">
        <f t="shared" si="3"/>
        <v>0</v>
      </c>
      <c r="L7" s="38"/>
    </row>
    <row r="8" spans="2:12" ht="30" customHeight="1" x14ac:dyDescent="0.3">
      <c r="B8" s="37" t="str">
        <f t="shared" si="0"/>
        <v>IRMS</v>
      </c>
      <c r="C8" s="2">
        <f>IF(ISTEXT(D8),MAX($C$6:$C7)+1,"")</f>
        <v>5</v>
      </c>
      <c r="D8" s="159" t="s">
        <v>11</v>
      </c>
      <c r="E8" s="162" t="s">
        <v>438</v>
      </c>
      <c r="F8" s="176" t="s">
        <v>43</v>
      </c>
      <c r="G8" s="177" t="s">
        <v>66</v>
      </c>
      <c r="H8" s="185">
        <f>COUNTIFS(D:D,"=Crucial",F:F,"=Select From Drop Down")</f>
        <v>0</v>
      </c>
      <c r="I8" s="179">
        <f t="shared" si="1"/>
        <v>1</v>
      </c>
      <c r="J8" s="180">
        <f t="shared" si="2"/>
        <v>0</v>
      </c>
      <c r="K8" s="220">
        <f t="shared" si="3"/>
        <v>0</v>
      </c>
      <c r="L8" s="38"/>
    </row>
    <row r="9" spans="2:12" ht="30" customHeight="1" x14ac:dyDescent="0.3">
      <c r="B9" s="37" t="str">
        <f t="shared" si="0"/>
        <v>IRMS</v>
      </c>
      <c r="C9" s="2">
        <f>IF(ISTEXT(D9),MAX($C$6:$C8)+1,"")</f>
        <v>6</v>
      </c>
      <c r="D9" s="159" t="s">
        <v>11</v>
      </c>
      <c r="E9" s="162" t="s">
        <v>885</v>
      </c>
      <c r="F9" s="176" t="s">
        <v>43</v>
      </c>
      <c r="G9" s="177" t="s">
        <v>68</v>
      </c>
      <c r="H9" s="185">
        <f>COUNTIFS(D:D,"=Crucial",F:F,"=Function Available")</f>
        <v>0</v>
      </c>
      <c r="I9" s="179">
        <f t="shared" si="1"/>
        <v>1</v>
      </c>
      <c r="J9" s="180">
        <f t="shared" si="2"/>
        <v>0</v>
      </c>
      <c r="K9" s="220">
        <f t="shared" si="3"/>
        <v>0</v>
      </c>
      <c r="L9" s="38"/>
    </row>
    <row r="10" spans="2:12" ht="30" customHeight="1" x14ac:dyDescent="0.3">
      <c r="B10" s="37" t="str">
        <f t="shared" si="0"/>
        <v>IRMS</v>
      </c>
      <c r="C10" s="2">
        <f>IF(ISTEXT(D10),MAX($C$6:$C9)+1,"")</f>
        <v>7</v>
      </c>
      <c r="D10" s="159" t="s">
        <v>11</v>
      </c>
      <c r="E10" s="162" t="s">
        <v>886</v>
      </c>
      <c r="F10" s="176" t="s">
        <v>43</v>
      </c>
      <c r="G10" s="177" t="s">
        <v>70</v>
      </c>
      <c r="H10" s="185">
        <f>COUNTIFS(D:D,"=Crucial",F:F,"=Function Not Available")</f>
        <v>0</v>
      </c>
      <c r="I10" s="179">
        <f t="shared" si="1"/>
        <v>1</v>
      </c>
      <c r="J10" s="180">
        <f t="shared" si="2"/>
        <v>0</v>
      </c>
      <c r="K10" s="220">
        <f t="shared" si="3"/>
        <v>0</v>
      </c>
      <c r="L10" s="38"/>
    </row>
    <row r="11" spans="2:12" ht="30" customHeight="1" x14ac:dyDescent="0.3">
      <c r="B11" s="37" t="str">
        <f t="shared" si="0"/>
        <v>IRMS</v>
      </c>
      <c r="C11" s="2">
        <f>IF(ISTEXT(D11),MAX($C$6:$C10)+1,"")</f>
        <v>8</v>
      </c>
      <c r="D11" s="159" t="s">
        <v>11</v>
      </c>
      <c r="E11" s="162" t="s">
        <v>887</v>
      </c>
      <c r="F11" s="176" t="s">
        <v>43</v>
      </c>
      <c r="G11" s="192" t="s">
        <v>72</v>
      </c>
      <c r="H11" s="221">
        <f>COUNTIFS(D:D,"=Crucial",F:F,"=Exception")</f>
        <v>0</v>
      </c>
      <c r="I11" s="222">
        <f t="shared" si="1"/>
        <v>1</v>
      </c>
      <c r="J11" s="223">
        <f t="shared" si="2"/>
        <v>0</v>
      </c>
      <c r="K11" s="224">
        <f t="shared" si="3"/>
        <v>0</v>
      </c>
      <c r="L11" s="41"/>
    </row>
    <row r="12" spans="2:12" ht="30" customHeight="1" x14ac:dyDescent="0.3">
      <c r="B12" s="37" t="str">
        <f t="shared" si="0"/>
        <v>IRMS</v>
      </c>
      <c r="C12" s="2">
        <f>IF(ISTEXT(D12),MAX($C$6:$C11)+1,"")</f>
        <v>9</v>
      </c>
      <c r="D12" s="159" t="s">
        <v>11</v>
      </c>
      <c r="E12" s="162" t="s">
        <v>888</v>
      </c>
      <c r="F12" s="176" t="s">
        <v>43</v>
      </c>
      <c r="G12" s="177" t="s">
        <v>74</v>
      </c>
      <c r="H12" s="185">
        <f>COUNTIFS(D:D,"=Important",F:F,"=Select From Drop Down")</f>
        <v>0</v>
      </c>
      <c r="I12" s="179">
        <f t="shared" si="1"/>
        <v>1</v>
      </c>
      <c r="J12" s="180">
        <f t="shared" si="2"/>
        <v>0</v>
      </c>
      <c r="K12" s="220">
        <f t="shared" si="3"/>
        <v>0</v>
      </c>
      <c r="L12" s="38"/>
    </row>
    <row r="13" spans="2:12" ht="30" customHeight="1" x14ac:dyDescent="0.3">
      <c r="B13" s="37" t="str">
        <f t="shared" si="0"/>
        <v>IRMS</v>
      </c>
      <c r="C13" s="2">
        <f>IF(ISTEXT(D13),MAX($C$6:$C12)+1,"")</f>
        <v>10</v>
      </c>
      <c r="D13" s="159" t="s">
        <v>11</v>
      </c>
      <c r="E13" s="160" t="s">
        <v>889</v>
      </c>
      <c r="F13" s="176" t="s">
        <v>43</v>
      </c>
      <c r="G13" s="192" t="s">
        <v>76</v>
      </c>
      <c r="H13" s="221">
        <f>COUNTIFS(D:D,"=Important",F:F,"=Function Available")</f>
        <v>0</v>
      </c>
      <c r="I13" s="222">
        <f t="shared" ref="I13:I23" si="4">VLOOKUP($D13,SpecData,2,FALSE)</f>
        <v>1</v>
      </c>
      <c r="J13" s="223">
        <f t="shared" ref="J13:J23" si="5">VLOOKUP($F13,AvailabilityData,2,FALSE)</f>
        <v>0</v>
      </c>
      <c r="K13" s="224">
        <f t="shared" ref="K13:K23" si="6">I13*J13</f>
        <v>0</v>
      </c>
      <c r="L13" s="44"/>
    </row>
    <row r="14" spans="2:12" ht="30" customHeight="1" x14ac:dyDescent="0.3">
      <c r="B14" s="37" t="str">
        <f t="shared" si="0"/>
        <v>IRMS</v>
      </c>
      <c r="C14" s="2">
        <f>IF(ISTEXT(D14),MAX($C$6:$C13)+1,"")</f>
        <v>11</v>
      </c>
      <c r="D14" s="159" t="s">
        <v>11</v>
      </c>
      <c r="E14" s="160" t="s">
        <v>890</v>
      </c>
      <c r="F14" s="176" t="s">
        <v>43</v>
      </c>
      <c r="G14" s="177" t="s">
        <v>78</v>
      </c>
      <c r="H14" s="185">
        <f>COUNTIFS(D:D,"=Important",F:F,"=Function Not Available")</f>
        <v>0</v>
      </c>
      <c r="I14" s="188">
        <f t="shared" si="4"/>
        <v>1</v>
      </c>
      <c r="J14" s="189">
        <f t="shared" si="5"/>
        <v>0</v>
      </c>
      <c r="K14" s="220">
        <f t="shared" si="6"/>
        <v>0</v>
      </c>
      <c r="L14" s="38"/>
    </row>
    <row r="15" spans="2:12" ht="43.5" customHeight="1" x14ac:dyDescent="0.3">
      <c r="B15" s="37" t="str">
        <f t="shared" si="0"/>
        <v>IRMS</v>
      </c>
      <c r="C15" s="2">
        <f>IF(ISTEXT(D15),MAX($C$6:$C14)+1,"")</f>
        <v>12</v>
      </c>
      <c r="D15" s="159" t="s">
        <v>11</v>
      </c>
      <c r="E15" s="36" t="s">
        <v>891</v>
      </c>
      <c r="F15" s="176" t="s">
        <v>43</v>
      </c>
      <c r="G15" s="177" t="s">
        <v>80</v>
      </c>
      <c r="H15" s="185">
        <f>COUNTIFS(D:D,"=Important",F:F,"=Exception")</f>
        <v>0</v>
      </c>
      <c r="I15" s="188">
        <f t="shared" si="4"/>
        <v>1</v>
      </c>
      <c r="J15" s="189">
        <f t="shared" si="5"/>
        <v>0</v>
      </c>
      <c r="K15" s="220">
        <f t="shared" si="6"/>
        <v>0</v>
      </c>
      <c r="L15" s="38"/>
    </row>
    <row r="16" spans="2:12" ht="30" customHeight="1" x14ac:dyDescent="0.3">
      <c r="B16" s="37" t="str">
        <f t="shared" si="0"/>
        <v>IRMS</v>
      </c>
      <c r="C16" s="2">
        <f>IF(ISTEXT(D16),MAX($C$6:$C15)+1,"")</f>
        <v>13</v>
      </c>
      <c r="D16" s="159" t="s">
        <v>11</v>
      </c>
      <c r="E16" s="36" t="s">
        <v>892</v>
      </c>
      <c r="F16" s="176" t="s">
        <v>43</v>
      </c>
      <c r="G16" s="177" t="s">
        <v>82</v>
      </c>
      <c r="H16" s="185">
        <f>COUNTIFS(D:D,"=Minimal",F:F,"=Select From Drop Down")</f>
        <v>19</v>
      </c>
      <c r="I16" s="188">
        <f t="shared" si="4"/>
        <v>1</v>
      </c>
      <c r="J16" s="189">
        <f t="shared" si="5"/>
        <v>0</v>
      </c>
      <c r="K16" s="220">
        <f t="shared" si="6"/>
        <v>0</v>
      </c>
      <c r="L16" s="38"/>
    </row>
    <row r="17" spans="2:12" ht="47.25" customHeight="1" x14ac:dyDescent="0.3">
      <c r="B17" s="37" t="str">
        <f t="shared" si="0"/>
        <v>IRMS</v>
      </c>
      <c r="C17" s="2">
        <f>IF(ISTEXT(D17),MAX($C$6:$C16)+1,"")</f>
        <v>14</v>
      </c>
      <c r="D17" s="159" t="s">
        <v>11</v>
      </c>
      <c r="E17" s="36" t="s">
        <v>893</v>
      </c>
      <c r="F17" s="176" t="s">
        <v>43</v>
      </c>
      <c r="G17" s="177" t="s">
        <v>84</v>
      </c>
      <c r="H17" s="185">
        <f>COUNTIFS(D:D,"=Minimal",F:F,"=Function Available")</f>
        <v>0</v>
      </c>
      <c r="I17" s="188">
        <f t="shared" si="4"/>
        <v>1</v>
      </c>
      <c r="J17" s="189">
        <f t="shared" si="5"/>
        <v>0</v>
      </c>
      <c r="K17" s="220">
        <f t="shared" si="6"/>
        <v>0</v>
      </c>
      <c r="L17" s="38"/>
    </row>
    <row r="18" spans="2:12" ht="44.25" customHeight="1" x14ac:dyDescent="0.3">
      <c r="B18" s="37" t="str">
        <f t="shared" si="0"/>
        <v>IRMS</v>
      </c>
      <c r="C18" s="2">
        <f>IF(ISTEXT(D18),MAX($C$6:$C17)+1,"")</f>
        <v>15</v>
      </c>
      <c r="D18" s="159" t="s">
        <v>11</v>
      </c>
      <c r="E18" s="336" t="s">
        <v>894</v>
      </c>
      <c r="F18" s="176" t="s">
        <v>43</v>
      </c>
      <c r="G18" s="177" t="s">
        <v>86</v>
      </c>
      <c r="H18" s="185">
        <f>COUNTIFS(D:D,"=Minimal",F:F,"=Function Not Available")</f>
        <v>0</v>
      </c>
      <c r="I18" s="188">
        <f t="shared" si="4"/>
        <v>1</v>
      </c>
      <c r="J18" s="189">
        <f t="shared" si="5"/>
        <v>0</v>
      </c>
      <c r="K18" s="220">
        <f t="shared" si="6"/>
        <v>0</v>
      </c>
      <c r="L18" s="38"/>
    </row>
    <row r="19" spans="2:12" ht="30" customHeight="1" x14ac:dyDescent="0.3">
      <c r="B19" s="40" t="str">
        <f t="shared" si="0"/>
        <v/>
      </c>
      <c r="C19" s="1" t="str">
        <f>IF(ISTEXT(D19),MAX($C$6:$C18)+1,"")</f>
        <v/>
      </c>
      <c r="D19" s="3"/>
      <c r="E19" s="333" t="s">
        <v>895</v>
      </c>
      <c r="F19" s="115"/>
      <c r="G19" s="31"/>
      <c r="H19" s="31"/>
      <c r="I19" s="31"/>
      <c r="J19" s="31"/>
      <c r="K19" s="31"/>
      <c r="L19" s="31"/>
    </row>
    <row r="20" spans="2:12" ht="30" customHeight="1" x14ac:dyDescent="0.3">
      <c r="B20" s="37" t="str">
        <f t="shared" si="0"/>
        <v>IRMS</v>
      </c>
      <c r="C20" s="2">
        <f>IF(ISTEXT(D20),MAX($C$6:$C18)+1,"")</f>
        <v>16</v>
      </c>
      <c r="D20" s="159" t="s">
        <v>11</v>
      </c>
      <c r="E20" s="338" t="s">
        <v>896</v>
      </c>
      <c r="F20" s="176" t="s">
        <v>43</v>
      </c>
      <c r="G20" s="177" t="s">
        <v>88</v>
      </c>
      <c r="H20" s="185">
        <f>COUNTIFS(D:D,"=Minimal",F:F,"=Exception")</f>
        <v>0</v>
      </c>
      <c r="I20" s="188">
        <f t="shared" si="4"/>
        <v>1</v>
      </c>
      <c r="J20" s="189">
        <f t="shared" si="5"/>
        <v>0</v>
      </c>
      <c r="K20" s="220">
        <f t="shared" si="6"/>
        <v>0</v>
      </c>
      <c r="L20" s="38"/>
    </row>
    <row r="21" spans="2:12" ht="30" customHeight="1" x14ac:dyDescent="0.3">
      <c r="B21" s="37" t="str">
        <f t="shared" si="0"/>
        <v>IRMS</v>
      </c>
      <c r="C21" s="2">
        <f>IF(ISTEXT(D21),MAX($C$6:$C20)+1,"")</f>
        <v>17</v>
      </c>
      <c r="D21" s="159" t="s">
        <v>11</v>
      </c>
      <c r="E21" s="334" t="s">
        <v>458</v>
      </c>
      <c r="F21" s="176" t="s">
        <v>43</v>
      </c>
      <c r="G21" s="177"/>
      <c r="H21" s="184"/>
      <c r="I21" s="188">
        <f t="shared" si="4"/>
        <v>1</v>
      </c>
      <c r="J21" s="189">
        <f t="shared" si="5"/>
        <v>0</v>
      </c>
      <c r="K21" s="220">
        <f t="shared" si="6"/>
        <v>0</v>
      </c>
      <c r="L21" s="38"/>
    </row>
    <row r="22" spans="2:12" ht="30" customHeight="1" x14ac:dyDescent="0.3">
      <c r="B22" s="37" t="str">
        <f t="shared" si="0"/>
        <v>IRMS</v>
      </c>
      <c r="C22" s="2">
        <f>IF(ISTEXT(D22),MAX($C$6:$C21)+1,"")</f>
        <v>18</v>
      </c>
      <c r="D22" s="159" t="s">
        <v>11</v>
      </c>
      <c r="E22" s="334" t="s">
        <v>897</v>
      </c>
      <c r="F22" s="176" t="s">
        <v>43</v>
      </c>
      <c r="G22" s="177"/>
      <c r="H22" s="184"/>
      <c r="I22" s="188">
        <f t="shared" si="4"/>
        <v>1</v>
      </c>
      <c r="J22" s="189">
        <f t="shared" si="5"/>
        <v>0</v>
      </c>
      <c r="K22" s="220">
        <f t="shared" si="6"/>
        <v>0</v>
      </c>
      <c r="L22" s="38"/>
    </row>
    <row r="23" spans="2:12" ht="30" hidden="1" customHeight="1" x14ac:dyDescent="0.3">
      <c r="B23" s="164" t="str">
        <f t="shared" si="0"/>
        <v>IRMS</v>
      </c>
      <c r="C23" s="165">
        <f>IF(ISTEXT(D23),MAX($C$6:$C22)+1,"")</f>
        <v>19</v>
      </c>
      <c r="D23" s="335" t="s">
        <v>11</v>
      </c>
      <c r="E23" s="336" t="s">
        <v>898</v>
      </c>
      <c r="F23" s="109" t="s">
        <v>43</v>
      </c>
      <c r="G23" s="87"/>
      <c r="H23" s="88"/>
      <c r="I23" s="89">
        <f t="shared" si="4"/>
        <v>1</v>
      </c>
      <c r="J23" s="90">
        <f t="shared" si="5"/>
        <v>0</v>
      </c>
      <c r="K23" s="206">
        <f t="shared" si="6"/>
        <v>0</v>
      </c>
      <c r="L23" s="166"/>
    </row>
    <row r="24" spans="2:12" ht="7.5" customHeight="1" x14ac:dyDescent="0.3"/>
  </sheetData>
  <sheetProtection selectLockedCells="1"/>
  <conditionalFormatting sqref="D4:D18">
    <cfRule type="cellIs" dxfId="89" priority="10" operator="equal">
      <formula>"Important"</formula>
    </cfRule>
    <cfRule type="cellIs" dxfId="88" priority="11" operator="equal">
      <formula>"Crucial"</formula>
    </cfRule>
    <cfRule type="cellIs" dxfId="87" priority="12" operator="equal">
      <formula>"N/A"</formula>
    </cfRule>
  </conditionalFormatting>
  <conditionalFormatting sqref="D20:D23">
    <cfRule type="cellIs" dxfId="86" priority="1" operator="equal">
      <formula>"Important"</formula>
    </cfRule>
    <cfRule type="cellIs" dxfId="85" priority="2" operator="equal">
      <formula>"Crucial"</formula>
    </cfRule>
    <cfRule type="cellIs" dxfId="84" priority="3" operator="equal">
      <formula>"N/A"</formula>
    </cfRule>
  </conditionalFormatting>
  <conditionalFormatting sqref="F4:F23">
    <cfRule type="cellIs" dxfId="83" priority="16" operator="equal">
      <formula>"Function Not Available"</formula>
    </cfRule>
    <cfRule type="cellIs" dxfId="82" priority="17" operator="equal">
      <formula>"Function Available"</formula>
    </cfRule>
    <cfRule type="cellIs" dxfId="81" priority="18" operator="equal">
      <formula>"Exception"</formula>
    </cfRule>
  </conditionalFormatting>
  <dataValidations count="4">
    <dataValidation type="list" allowBlank="1" showInputMessage="1" showErrorMessage="1" errorTitle="Invalid specification type" error="Please enter a Specification type from the drop-down list." sqref="F6:F18 F20:F23" xr:uid="{00000000-0002-0000-1B00-000000000000}">
      <formula1>AvailabilityType</formula1>
    </dataValidation>
    <dataValidation type="list" allowBlank="1" showInputMessage="1" showErrorMessage="1" errorTitle="Invalid specification type" error="Please enter a Specification type from the drop-down list." sqref="D23" xr:uid="{00000000-0002-0000-1B00-000001000000}">
      <formula1>SpecType</formula1>
    </dataValidation>
    <dataValidation type="list" allowBlank="1" showInputMessage="1" showErrorMessage="1" sqref="D4:D18 D20:D22" xr:uid="{19E0E6A1-691C-4D9A-8C22-F6A2082EC17C}">
      <formula1>SpecType</formula1>
    </dataValidation>
    <dataValidation type="list" allowBlank="1" showInputMessage="1" showErrorMessage="1" sqref="F4:F5" xr:uid="{00000000-0002-0000-1B00-000003000000}">
      <formula1>AvailabilityType</formula1>
    </dataValidation>
  </dataValidations>
  <pageMargins left="0.7" right="0.7" top="0.75" bottom="0.75" header="0.3" footer="0.3"/>
  <pageSetup scale="50" fitToHeight="0" orientation="portrait" r:id="rId1"/>
  <headerFooter>
    <oddHeader>&amp;CLos Alamos, NM
&amp;F&amp;R&amp;A</oddHeader>
    <oddFooter>&amp;LTSSI Consulting LLC, June 2015&amp;CPage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pageSetUpPr fitToPage="1"/>
  </sheetPr>
  <dimension ref="A1:M46"/>
  <sheetViews>
    <sheetView showGridLines="0" zoomScale="80" zoomScaleNormal="80" workbookViewId="0">
      <selection activeCell="D5" sqref="D5"/>
    </sheetView>
  </sheetViews>
  <sheetFormatPr defaultColWidth="0" defaultRowHeight="14.4" zeroHeight="1" x14ac:dyDescent="0.3"/>
  <cols>
    <col min="1" max="1" width="1.6640625" customWidth="1"/>
    <col min="2" max="2" width="11.6640625" customWidth="1"/>
    <col min="3" max="3" width="11.44140625" customWidth="1"/>
    <col min="4" max="4" width="23.33203125" style="145" customWidth="1"/>
    <col min="5" max="5" width="65.6640625" style="74" customWidth="1"/>
    <col min="6" max="6" width="28.6640625" customWidth="1"/>
    <col min="7" max="7" width="15.44140625" style="35" hidden="1" customWidth="1"/>
    <col min="8" max="11" width="12.6640625" hidden="1" customWidth="1"/>
    <col min="12" max="12" width="49.44140625" style="145" customWidth="1"/>
    <col min="13" max="13" width="8.6640625" customWidth="1"/>
    <col min="14" max="16384" width="8.6640625" hidden="1"/>
  </cols>
  <sheetData>
    <row r="1" spans="2:12" ht="4.95" customHeight="1" x14ac:dyDescent="0.3"/>
    <row r="2" spans="2:12" ht="129" customHeight="1" x14ac:dyDescent="0.3">
      <c r="B2" s="107" t="s">
        <v>44</v>
      </c>
      <c r="C2" s="108" t="s">
        <v>45</v>
      </c>
      <c r="D2" s="108" t="s">
        <v>46</v>
      </c>
      <c r="E2" s="108" t="s">
        <v>899</v>
      </c>
      <c r="F2" s="108" t="s">
        <v>42</v>
      </c>
      <c r="G2" s="98" t="s">
        <v>48</v>
      </c>
      <c r="H2" s="98" t="s">
        <v>49</v>
      </c>
      <c r="I2" s="99" t="s">
        <v>50</v>
      </c>
      <c r="J2" s="99" t="s">
        <v>51</v>
      </c>
      <c r="K2" s="100" t="s">
        <v>14</v>
      </c>
      <c r="L2" s="101" t="s">
        <v>52</v>
      </c>
    </row>
    <row r="3" spans="2:12" ht="15.6" x14ac:dyDescent="0.3">
      <c r="B3" s="71" t="s">
        <v>900</v>
      </c>
      <c r="C3" s="71"/>
      <c r="D3" s="71"/>
      <c r="E3" s="84"/>
      <c r="F3" s="76"/>
      <c r="G3" s="86" t="s">
        <v>54</v>
      </c>
      <c r="H3" s="69">
        <f>COUNTA(D5:D504)</f>
        <v>38</v>
      </c>
      <c r="I3" s="70"/>
      <c r="J3" s="70" t="s">
        <v>55</v>
      </c>
      <c r="K3" s="85">
        <f>SUM(K5:K504)</f>
        <v>0</v>
      </c>
      <c r="L3" s="83"/>
    </row>
    <row r="4" spans="2:12" ht="15.6" x14ac:dyDescent="0.3">
      <c r="B4" s="67" t="s">
        <v>901</v>
      </c>
      <c r="C4" s="67"/>
      <c r="D4" s="67"/>
      <c r="E4" s="67"/>
      <c r="F4" s="67"/>
      <c r="G4" s="67"/>
      <c r="H4" s="67"/>
      <c r="I4" s="67"/>
      <c r="J4" s="67"/>
      <c r="K4" s="67"/>
      <c r="L4" s="67"/>
    </row>
    <row r="5" spans="2:12" ht="30" customHeight="1" x14ac:dyDescent="0.3">
      <c r="B5" s="37" t="s">
        <v>902</v>
      </c>
      <c r="C5" s="2">
        <v>1</v>
      </c>
      <c r="D5" s="146" t="s">
        <v>11</v>
      </c>
      <c r="E5" s="60" t="s">
        <v>903</v>
      </c>
      <c r="F5" s="109" t="s">
        <v>43</v>
      </c>
      <c r="G5" s="29" t="s">
        <v>58</v>
      </c>
      <c r="H5" s="110">
        <f>COUNTIF(F5:F504,"Select from Drop Down")</f>
        <v>38</v>
      </c>
      <c r="I5" s="111">
        <f>VLOOKUP($D5,SpecData,2,FALSE)</f>
        <v>1</v>
      </c>
      <c r="J5" s="112">
        <f>VLOOKUP($F5,AvailabilityData,2,FALSE)</f>
        <v>0</v>
      </c>
      <c r="K5" s="113">
        <f>I5*J5</f>
        <v>0</v>
      </c>
      <c r="L5" s="38"/>
    </row>
    <row r="6" spans="2:12" ht="41.4" x14ac:dyDescent="0.3">
      <c r="B6" s="37" t="str">
        <f>IF(C6="","",$B$5)</f>
        <v>IResD</v>
      </c>
      <c r="C6" s="2">
        <f>IF(ISTEXT(D6),MAX($C$5:$C5)+1,"")</f>
        <v>2</v>
      </c>
      <c r="D6" s="146" t="s">
        <v>11</v>
      </c>
      <c r="E6" s="66" t="s">
        <v>904</v>
      </c>
      <c r="F6" s="109" t="s">
        <v>43</v>
      </c>
      <c r="G6" s="29" t="s">
        <v>60</v>
      </c>
      <c r="H6" s="110">
        <f>COUNTIF(F5:F504,"Function Available")</f>
        <v>0</v>
      </c>
      <c r="I6" s="111">
        <f>VLOOKUP($D6,SpecData,2,FALSE)</f>
        <v>1</v>
      </c>
      <c r="J6" s="112">
        <f>VLOOKUP($F6,AvailabilityData,2,FALSE)</f>
        <v>0</v>
      </c>
      <c r="K6" s="113">
        <f t="shared" ref="K6:K45" si="0">I6*J6</f>
        <v>0</v>
      </c>
      <c r="L6" s="38"/>
    </row>
    <row r="7" spans="2:12" ht="30" customHeight="1" x14ac:dyDescent="0.3">
      <c r="B7" s="37" t="str">
        <f>IF(C7="","",$B$5)</f>
        <v>IResD</v>
      </c>
      <c r="C7" s="2">
        <f>IF(ISTEXT(D7),MAX($C$5:$C6)+1,"")</f>
        <v>3</v>
      </c>
      <c r="D7" s="146" t="s">
        <v>11</v>
      </c>
      <c r="E7" s="60" t="s">
        <v>905</v>
      </c>
      <c r="F7" s="109" t="s">
        <v>43</v>
      </c>
      <c r="G7" s="29" t="s">
        <v>62</v>
      </c>
      <c r="H7" s="33">
        <f>COUNTIF(F5:F504,"Function Not Available")</f>
        <v>0</v>
      </c>
      <c r="I7" s="111">
        <f t="shared" ref="I7:I45" si="1">VLOOKUP($D7,SpecData,2,FALSE)</f>
        <v>1</v>
      </c>
      <c r="J7" s="112">
        <f t="shared" ref="J7:J45" si="2">VLOOKUP($F7,AvailabilityData,2,FALSE)</f>
        <v>0</v>
      </c>
      <c r="K7" s="113">
        <f t="shared" si="0"/>
        <v>0</v>
      </c>
      <c r="L7" s="38"/>
    </row>
    <row r="8" spans="2:12" ht="30" customHeight="1" x14ac:dyDescent="0.3">
      <c r="B8" s="37" t="str">
        <f t="shared" ref="B8:B45" si="3">IF(C8="","",$B$5)</f>
        <v>IResD</v>
      </c>
      <c r="C8" s="2">
        <f>IF(ISTEXT(D8),MAX($C$5:$C7)+1,"")</f>
        <v>4</v>
      </c>
      <c r="D8" s="146" t="s">
        <v>11</v>
      </c>
      <c r="E8" s="56" t="s">
        <v>906</v>
      </c>
      <c r="F8" s="109" t="s">
        <v>43</v>
      </c>
      <c r="G8" s="29" t="s">
        <v>64</v>
      </c>
      <c r="H8" s="33">
        <f>COUNTIF(F5:F504,"Exception")</f>
        <v>0</v>
      </c>
      <c r="I8" s="111">
        <f t="shared" si="1"/>
        <v>1</v>
      </c>
      <c r="J8" s="112">
        <f t="shared" si="2"/>
        <v>0</v>
      </c>
      <c r="K8" s="113">
        <f t="shared" si="0"/>
        <v>0</v>
      </c>
      <c r="L8" s="38"/>
    </row>
    <row r="9" spans="2:12" ht="30" customHeight="1" x14ac:dyDescent="0.3">
      <c r="B9" s="40" t="str">
        <f t="shared" ref="B9" si="4">IF(C9="","",$B$4)</f>
        <v/>
      </c>
      <c r="C9" s="1" t="str">
        <f>IF(ISTEXT(D9),MAX($C$6:$C8)+1,"")</f>
        <v/>
      </c>
      <c r="D9" s="3"/>
      <c r="E9" s="59" t="s">
        <v>907</v>
      </c>
      <c r="F9" s="115"/>
      <c r="G9" s="31"/>
      <c r="H9" s="31"/>
      <c r="I9" s="31"/>
      <c r="J9" s="31"/>
      <c r="K9" s="31"/>
      <c r="L9" s="31"/>
    </row>
    <row r="10" spans="2:12" ht="30" customHeight="1" x14ac:dyDescent="0.3">
      <c r="B10" s="37" t="str">
        <f t="shared" si="3"/>
        <v>IResD</v>
      </c>
      <c r="C10" s="2">
        <f>IF(ISTEXT(D10),MAX($C$5:$C8)+1,"")</f>
        <v>5</v>
      </c>
      <c r="D10" s="146" t="s">
        <v>11</v>
      </c>
      <c r="E10" s="82" t="s">
        <v>908</v>
      </c>
      <c r="F10" s="109" t="s">
        <v>43</v>
      </c>
      <c r="G10" s="29" t="s">
        <v>66</v>
      </c>
      <c r="H10" s="28">
        <f>COUNTIFS(D:D,"=Crucial",F:F,"=Select From Drop Down")</f>
        <v>0</v>
      </c>
      <c r="I10" s="111">
        <f t="shared" si="1"/>
        <v>1</v>
      </c>
      <c r="J10" s="112">
        <f t="shared" si="2"/>
        <v>0</v>
      </c>
      <c r="K10" s="113">
        <f t="shared" si="0"/>
        <v>0</v>
      </c>
      <c r="L10" s="38"/>
    </row>
    <row r="11" spans="2:12" ht="30" customHeight="1" x14ac:dyDescent="0.3">
      <c r="B11" s="37" t="str">
        <f t="shared" si="3"/>
        <v>IResD</v>
      </c>
      <c r="C11" s="2">
        <f>IF(ISTEXT(D11),MAX($C$5:$C10)+1,"")</f>
        <v>6</v>
      </c>
      <c r="D11" s="146" t="s">
        <v>11</v>
      </c>
      <c r="E11" s="81" t="s">
        <v>909</v>
      </c>
      <c r="F11" s="109" t="s">
        <v>43</v>
      </c>
      <c r="G11" s="29" t="s">
        <v>68</v>
      </c>
      <c r="H11" s="28">
        <f>COUNTIFS(D:D,"=Crucial",F:F,"=Function Available")</f>
        <v>0</v>
      </c>
      <c r="I11" s="111">
        <f t="shared" si="1"/>
        <v>1</v>
      </c>
      <c r="J11" s="112">
        <f t="shared" si="2"/>
        <v>0</v>
      </c>
      <c r="K11" s="113">
        <f t="shared" si="0"/>
        <v>0</v>
      </c>
      <c r="L11" s="38"/>
    </row>
    <row r="12" spans="2:12" ht="30" customHeight="1" x14ac:dyDescent="0.3">
      <c r="B12" s="37" t="str">
        <f t="shared" si="3"/>
        <v>IResD</v>
      </c>
      <c r="C12" s="2">
        <f>IF(ISTEXT(D12),MAX($C$5:$C11)+1,"")</f>
        <v>7</v>
      </c>
      <c r="D12" s="146" t="s">
        <v>11</v>
      </c>
      <c r="E12" s="81" t="s">
        <v>910</v>
      </c>
      <c r="F12" s="109" t="s">
        <v>43</v>
      </c>
      <c r="G12" s="29" t="s">
        <v>70</v>
      </c>
      <c r="H12" s="28">
        <f>COUNTIFS(D:D,"=Crucial",F:F,"=Function Not Available")</f>
        <v>0</v>
      </c>
      <c r="I12" s="111">
        <f t="shared" si="1"/>
        <v>1</v>
      </c>
      <c r="J12" s="112">
        <f t="shared" si="2"/>
        <v>0</v>
      </c>
      <c r="K12" s="113">
        <f t="shared" si="0"/>
        <v>0</v>
      </c>
      <c r="L12" s="38"/>
    </row>
    <row r="13" spans="2:12" ht="30" customHeight="1" x14ac:dyDescent="0.3">
      <c r="B13" s="37" t="str">
        <f t="shared" si="3"/>
        <v>IResD</v>
      </c>
      <c r="C13" s="2">
        <f>IF(ISTEXT(D13),MAX($C$5:$C12)+1,"")</f>
        <v>8</v>
      </c>
      <c r="D13" s="146" t="s">
        <v>11</v>
      </c>
      <c r="E13" s="60" t="s">
        <v>911</v>
      </c>
      <c r="F13" s="109" t="s">
        <v>43</v>
      </c>
      <c r="G13" s="29" t="s">
        <v>72</v>
      </c>
      <c r="H13" s="28">
        <f>COUNTIFS(D:D,"=Crucial",F:F,"=Exception")</f>
        <v>0</v>
      </c>
      <c r="I13" s="111">
        <f t="shared" si="1"/>
        <v>1</v>
      </c>
      <c r="J13" s="112">
        <f t="shared" si="2"/>
        <v>0</v>
      </c>
      <c r="K13" s="113">
        <f t="shared" si="0"/>
        <v>0</v>
      </c>
      <c r="L13" s="38"/>
    </row>
    <row r="14" spans="2:12" ht="30" customHeight="1" x14ac:dyDescent="0.3">
      <c r="B14" s="37" t="str">
        <f t="shared" si="3"/>
        <v>IResD</v>
      </c>
      <c r="C14" s="2">
        <f>IF(ISTEXT(D14),MAX($C$5:$C13)+1,"")</f>
        <v>9</v>
      </c>
      <c r="D14" s="146" t="s">
        <v>11</v>
      </c>
      <c r="E14" s="60" t="s">
        <v>912</v>
      </c>
      <c r="F14" s="109" t="s">
        <v>43</v>
      </c>
      <c r="G14" s="34" t="s">
        <v>74</v>
      </c>
      <c r="H14" s="114">
        <f>COUNTIFS(D:D,"=Important",F:F,"=Select From Drop Down")</f>
        <v>0</v>
      </c>
      <c r="I14" s="111">
        <f t="shared" si="1"/>
        <v>1</v>
      </c>
      <c r="J14" s="112">
        <f t="shared" si="2"/>
        <v>0</v>
      </c>
      <c r="K14" s="113">
        <f t="shared" si="0"/>
        <v>0</v>
      </c>
      <c r="L14" s="38"/>
    </row>
    <row r="15" spans="2:12" ht="30" customHeight="1" x14ac:dyDescent="0.3">
      <c r="B15" s="37" t="str">
        <f t="shared" si="3"/>
        <v>IResD</v>
      </c>
      <c r="C15" s="2">
        <f>IF(ISTEXT(D15),MAX($C$5:$C14)+1,"")</f>
        <v>10</v>
      </c>
      <c r="D15" s="146" t="s">
        <v>11</v>
      </c>
      <c r="E15" s="60" t="s">
        <v>913</v>
      </c>
      <c r="F15" s="109" t="s">
        <v>43</v>
      </c>
      <c r="G15" s="34" t="s">
        <v>76</v>
      </c>
      <c r="H15" s="114">
        <f>COUNTIFS(D:D,"=Important",F:F,"=Function Available")</f>
        <v>0</v>
      </c>
      <c r="I15" s="111">
        <f t="shared" si="1"/>
        <v>1</v>
      </c>
      <c r="J15" s="112">
        <f t="shared" si="2"/>
        <v>0</v>
      </c>
      <c r="K15" s="113">
        <f t="shared" si="0"/>
        <v>0</v>
      </c>
      <c r="L15" s="38"/>
    </row>
    <row r="16" spans="2:12" ht="30" customHeight="1" x14ac:dyDescent="0.3">
      <c r="B16" s="37" t="str">
        <f t="shared" si="3"/>
        <v>IResD</v>
      </c>
      <c r="C16" s="2">
        <f>IF(ISTEXT(D16),MAX($C$5:$C15)+1,"")</f>
        <v>11</v>
      </c>
      <c r="D16" s="146" t="s">
        <v>11</v>
      </c>
      <c r="E16" s="60" t="s">
        <v>914</v>
      </c>
      <c r="F16" s="109" t="s">
        <v>43</v>
      </c>
      <c r="G16" s="29" t="s">
        <v>78</v>
      </c>
      <c r="H16" s="28">
        <f>COUNTIFS(D:D,"=Important",F:F,"=Function Not Available")</f>
        <v>0</v>
      </c>
      <c r="I16" s="32">
        <f t="shared" si="1"/>
        <v>1</v>
      </c>
      <c r="J16" s="30">
        <f t="shared" si="2"/>
        <v>0</v>
      </c>
      <c r="K16" s="113">
        <f t="shared" si="0"/>
        <v>0</v>
      </c>
      <c r="L16" s="38"/>
    </row>
    <row r="17" spans="2:12" ht="41.4" x14ac:dyDescent="0.3">
      <c r="B17" s="37" t="str">
        <f t="shared" si="3"/>
        <v>IResD</v>
      </c>
      <c r="C17" s="2">
        <f>IF(ISTEXT(D17),MAX($C$5:$C16)+1,"")</f>
        <v>12</v>
      </c>
      <c r="D17" s="146" t="s">
        <v>11</v>
      </c>
      <c r="E17" s="60" t="s">
        <v>915</v>
      </c>
      <c r="F17" s="109" t="s">
        <v>43</v>
      </c>
      <c r="G17" s="29" t="s">
        <v>80</v>
      </c>
      <c r="H17" s="28">
        <f>COUNTIFS(D:D,"=Important",F:F,"=Exception")</f>
        <v>0</v>
      </c>
      <c r="I17" s="32">
        <f t="shared" si="1"/>
        <v>1</v>
      </c>
      <c r="J17" s="30">
        <f t="shared" si="2"/>
        <v>0</v>
      </c>
      <c r="K17" s="113">
        <f t="shared" si="0"/>
        <v>0</v>
      </c>
      <c r="L17" s="38"/>
    </row>
    <row r="18" spans="2:12" ht="30" customHeight="1" x14ac:dyDescent="0.3">
      <c r="B18" s="37" t="str">
        <f t="shared" si="3"/>
        <v>IResD</v>
      </c>
      <c r="C18" s="2">
        <f>IF(ISTEXT(D18),MAX($C$5:$C17)+1,"")</f>
        <v>13</v>
      </c>
      <c r="D18" s="146" t="s">
        <v>11</v>
      </c>
      <c r="E18" s="56" t="s">
        <v>916</v>
      </c>
      <c r="F18" s="109" t="s">
        <v>43</v>
      </c>
      <c r="G18" s="29" t="s">
        <v>82</v>
      </c>
      <c r="H18" s="28">
        <f>COUNTIFS(D:D,"=Minimal",F:F,"=Select From Drop Down")</f>
        <v>38</v>
      </c>
      <c r="I18" s="32">
        <f t="shared" si="1"/>
        <v>1</v>
      </c>
      <c r="J18" s="30">
        <f t="shared" si="2"/>
        <v>0</v>
      </c>
      <c r="K18" s="113">
        <f t="shared" si="0"/>
        <v>0</v>
      </c>
      <c r="L18" s="38"/>
    </row>
    <row r="19" spans="2:12" ht="55.2" x14ac:dyDescent="0.3">
      <c r="B19" s="37" t="str">
        <f t="shared" si="3"/>
        <v>IResD</v>
      </c>
      <c r="C19" s="2">
        <f>IF(ISTEXT(D19),MAX($C$5:$C18)+1,"")</f>
        <v>14</v>
      </c>
      <c r="D19" s="146" t="s">
        <v>11</v>
      </c>
      <c r="E19" s="56" t="s">
        <v>917</v>
      </c>
      <c r="F19" s="109" t="s">
        <v>43</v>
      </c>
      <c r="G19" s="29" t="s">
        <v>84</v>
      </c>
      <c r="H19" s="28">
        <f>COUNTIFS(D:D,"=Minimal",F:F,"=Function Available")</f>
        <v>0</v>
      </c>
      <c r="I19" s="32">
        <f t="shared" si="1"/>
        <v>1</v>
      </c>
      <c r="J19" s="30">
        <f t="shared" si="2"/>
        <v>0</v>
      </c>
      <c r="K19" s="113">
        <f t="shared" si="0"/>
        <v>0</v>
      </c>
      <c r="L19" s="38"/>
    </row>
    <row r="20" spans="2:12" ht="55.2" x14ac:dyDescent="0.3">
      <c r="B20" s="37" t="str">
        <f t="shared" si="3"/>
        <v>IResD</v>
      </c>
      <c r="C20" s="2">
        <f>IF(ISTEXT(D20),MAX($C$5:$C19)+1,"")</f>
        <v>15</v>
      </c>
      <c r="D20" s="146" t="s">
        <v>11</v>
      </c>
      <c r="E20" s="56" t="s">
        <v>918</v>
      </c>
      <c r="F20" s="109" t="s">
        <v>43</v>
      </c>
      <c r="G20" s="29" t="s">
        <v>86</v>
      </c>
      <c r="H20" s="28">
        <f>COUNTIFS(D:D,"=Minimal",F:F,"=Function Not Available")</f>
        <v>0</v>
      </c>
      <c r="I20" s="32">
        <f t="shared" si="1"/>
        <v>1</v>
      </c>
      <c r="J20" s="30">
        <f t="shared" si="2"/>
        <v>0</v>
      </c>
      <c r="K20" s="113">
        <f t="shared" si="0"/>
        <v>0</v>
      </c>
      <c r="L20" s="38"/>
    </row>
    <row r="21" spans="2:12" ht="30" customHeight="1" x14ac:dyDescent="0.3">
      <c r="B21" s="37" t="str">
        <f t="shared" si="3"/>
        <v>IResD</v>
      </c>
      <c r="C21" s="2">
        <f>IF(ISTEXT(D21),MAX($C$5:$C20)+1,"")</f>
        <v>16</v>
      </c>
      <c r="D21" s="146" t="s">
        <v>11</v>
      </c>
      <c r="E21" s="56" t="s">
        <v>919</v>
      </c>
      <c r="F21" s="109" t="s">
        <v>43</v>
      </c>
      <c r="G21" s="29" t="s">
        <v>88</v>
      </c>
      <c r="H21" s="28">
        <f>COUNTIFS(D:D,"=Minimal",F:F,"=Exception")</f>
        <v>0</v>
      </c>
      <c r="I21" s="32">
        <f t="shared" si="1"/>
        <v>1</v>
      </c>
      <c r="J21" s="30">
        <f t="shared" si="2"/>
        <v>0</v>
      </c>
      <c r="K21" s="113">
        <f t="shared" si="0"/>
        <v>0</v>
      </c>
      <c r="L21" s="38"/>
    </row>
    <row r="22" spans="2:12" ht="41.4" x14ac:dyDescent="0.3">
      <c r="B22" s="37" t="str">
        <f t="shared" si="3"/>
        <v>IResD</v>
      </c>
      <c r="C22" s="2">
        <f>IF(ISTEXT(D22),MAX($C$5:$C21)+1,"")</f>
        <v>17</v>
      </c>
      <c r="D22" s="146" t="s">
        <v>11</v>
      </c>
      <c r="E22" s="56" t="s">
        <v>920</v>
      </c>
      <c r="F22" s="109" t="s">
        <v>43</v>
      </c>
      <c r="G22" s="29"/>
      <c r="H22" s="33"/>
      <c r="I22" s="32">
        <f t="shared" si="1"/>
        <v>1</v>
      </c>
      <c r="J22" s="30">
        <f t="shared" si="2"/>
        <v>0</v>
      </c>
      <c r="K22" s="113">
        <f t="shared" si="0"/>
        <v>0</v>
      </c>
      <c r="L22" s="38"/>
    </row>
    <row r="23" spans="2:12" ht="55.2" x14ac:dyDescent="0.3">
      <c r="B23" s="37" t="str">
        <f t="shared" si="3"/>
        <v>IResD</v>
      </c>
      <c r="C23" s="2">
        <f>IF(ISTEXT(D23),MAX($C$5:$C22)+1,"")</f>
        <v>18</v>
      </c>
      <c r="D23" s="146" t="s">
        <v>11</v>
      </c>
      <c r="E23" s="56" t="s">
        <v>921</v>
      </c>
      <c r="F23" s="109" t="s">
        <v>43</v>
      </c>
      <c r="G23" s="29"/>
      <c r="H23" s="33"/>
      <c r="I23" s="32">
        <f t="shared" si="1"/>
        <v>1</v>
      </c>
      <c r="J23" s="30">
        <f t="shared" si="2"/>
        <v>0</v>
      </c>
      <c r="K23" s="113">
        <f t="shared" si="0"/>
        <v>0</v>
      </c>
      <c r="L23" s="38"/>
    </row>
    <row r="24" spans="2:12" ht="41.4" x14ac:dyDescent="0.3">
      <c r="B24" s="37" t="str">
        <f t="shared" si="3"/>
        <v>IResD</v>
      </c>
      <c r="C24" s="2">
        <f>IF(ISTEXT(D24),MAX($C$5:$C23)+1,"")</f>
        <v>19</v>
      </c>
      <c r="D24" s="146" t="s">
        <v>11</v>
      </c>
      <c r="E24" s="56" t="s">
        <v>922</v>
      </c>
      <c r="F24" s="109" t="s">
        <v>43</v>
      </c>
      <c r="G24" s="29"/>
      <c r="H24" s="33"/>
      <c r="I24" s="32">
        <f t="shared" si="1"/>
        <v>1</v>
      </c>
      <c r="J24" s="30">
        <f t="shared" si="2"/>
        <v>0</v>
      </c>
      <c r="K24" s="113">
        <f t="shared" si="0"/>
        <v>0</v>
      </c>
      <c r="L24" s="38"/>
    </row>
    <row r="25" spans="2:12" ht="41.4" x14ac:dyDescent="0.3">
      <c r="B25" s="37" t="str">
        <f t="shared" si="3"/>
        <v>IResD</v>
      </c>
      <c r="C25" s="2">
        <f>IF(ISTEXT(D25),MAX($C$5:$C24)+1,"")</f>
        <v>20</v>
      </c>
      <c r="D25" s="146" t="s">
        <v>11</v>
      </c>
      <c r="E25" s="56" t="s">
        <v>923</v>
      </c>
      <c r="F25" s="109" t="s">
        <v>43</v>
      </c>
      <c r="G25" s="29"/>
      <c r="H25" s="33"/>
      <c r="I25" s="32">
        <f t="shared" si="1"/>
        <v>1</v>
      </c>
      <c r="J25" s="30">
        <f t="shared" si="2"/>
        <v>0</v>
      </c>
      <c r="K25" s="113">
        <f t="shared" si="0"/>
        <v>0</v>
      </c>
      <c r="L25" s="38"/>
    </row>
    <row r="26" spans="2:12" ht="30" customHeight="1" x14ac:dyDescent="0.3">
      <c r="B26" s="37" t="str">
        <f t="shared" si="3"/>
        <v>IResD</v>
      </c>
      <c r="C26" s="2">
        <f>IF(ISTEXT(D26),MAX($C$5:$C25)+1,"")</f>
        <v>21</v>
      </c>
      <c r="D26" s="146" t="s">
        <v>11</v>
      </c>
      <c r="E26" s="56" t="s">
        <v>924</v>
      </c>
      <c r="F26" s="109" t="s">
        <v>43</v>
      </c>
      <c r="G26" s="87"/>
      <c r="H26" s="88"/>
      <c r="I26" s="89">
        <f t="shared" si="1"/>
        <v>1</v>
      </c>
      <c r="J26" s="90">
        <f t="shared" si="2"/>
        <v>0</v>
      </c>
      <c r="K26" s="113">
        <f t="shared" si="0"/>
        <v>0</v>
      </c>
      <c r="L26" s="38"/>
    </row>
    <row r="27" spans="2:12" ht="41.4" x14ac:dyDescent="0.3">
      <c r="B27" s="37" t="str">
        <f t="shared" si="3"/>
        <v>IResD</v>
      </c>
      <c r="C27" s="2">
        <f>IF(ISTEXT(D27),MAX($C$5:$C26)+1,"")</f>
        <v>22</v>
      </c>
      <c r="D27" s="146" t="s">
        <v>11</v>
      </c>
      <c r="E27" s="56" t="s">
        <v>925</v>
      </c>
      <c r="F27" s="109" t="s">
        <v>43</v>
      </c>
      <c r="G27" s="34"/>
      <c r="H27" s="116"/>
      <c r="I27" s="111">
        <f t="shared" si="1"/>
        <v>1</v>
      </c>
      <c r="J27" s="112">
        <f t="shared" si="2"/>
        <v>0</v>
      </c>
      <c r="K27" s="113">
        <f t="shared" si="0"/>
        <v>0</v>
      </c>
      <c r="L27" s="38"/>
    </row>
    <row r="28" spans="2:12" ht="30" customHeight="1" x14ac:dyDescent="0.3">
      <c r="B28" s="37" t="str">
        <f t="shared" si="3"/>
        <v>IResD</v>
      </c>
      <c r="C28" s="2">
        <f>IF(ISTEXT(D28),MAX($C$5:$C27)+1,"")</f>
        <v>23</v>
      </c>
      <c r="D28" s="146" t="s">
        <v>11</v>
      </c>
      <c r="E28" s="56" t="s">
        <v>926</v>
      </c>
      <c r="F28" s="109" t="s">
        <v>43</v>
      </c>
      <c r="G28" s="29"/>
      <c r="H28" s="33"/>
      <c r="I28" s="32">
        <f t="shared" si="1"/>
        <v>1</v>
      </c>
      <c r="J28" s="30">
        <f t="shared" si="2"/>
        <v>0</v>
      </c>
      <c r="K28" s="113">
        <f t="shared" si="0"/>
        <v>0</v>
      </c>
      <c r="L28" s="38"/>
    </row>
    <row r="29" spans="2:12" ht="30" customHeight="1" x14ac:dyDescent="0.3">
      <c r="B29" s="37" t="str">
        <f t="shared" si="3"/>
        <v>IResD</v>
      </c>
      <c r="C29" s="2">
        <f>IF(ISTEXT(D29),MAX($C$5:$C28)+1,"")</f>
        <v>24</v>
      </c>
      <c r="D29" s="146" t="s">
        <v>11</v>
      </c>
      <c r="E29" s="56" t="s">
        <v>927</v>
      </c>
      <c r="F29" s="109" t="s">
        <v>43</v>
      </c>
      <c r="G29" s="87"/>
      <c r="H29" s="88"/>
      <c r="I29" s="89">
        <f t="shared" si="1"/>
        <v>1</v>
      </c>
      <c r="J29" s="90">
        <f t="shared" si="2"/>
        <v>0</v>
      </c>
      <c r="K29" s="113">
        <f t="shared" si="0"/>
        <v>0</v>
      </c>
      <c r="L29" s="38"/>
    </row>
    <row r="30" spans="2:12" ht="30" customHeight="1" x14ac:dyDescent="0.3">
      <c r="B30" s="37" t="str">
        <f t="shared" si="3"/>
        <v>IResD</v>
      </c>
      <c r="C30" s="2">
        <f>IF(ISTEXT(D30),MAX($C$5:$C29)+1,"")</f>
        <v>25</v>
      </c>
      <c r="D30" s="146" t="s">
        <v>11</v>
      </c>
      <c r="E30" s="56" t="s">
        <v>928</v>
      </c>
      <c r="F30" s="109" t="s">
        <v>43</v>
      </c>
      <c r="G30" s="34"/>
      <c r="H30" s="116"/>
      <c r="I30" s="111">
        <f t="shared" si="1"/>
        <v>1</v>
      </c>
      <c r="J30" s="112">
        <f t="shared" si="2"/>
        <v>0</v>
      </c>
      <c r="K30" s="113">
        <f t="shared" si="0"/>
        <v>0</v>
      </c>
      <c r="L30" s="38"/>
    </row>
    <row r="31" spans="2:12" ht="30" customHeight="1" x14ac:dyDescent="0.3">
      <c r="B31" s="37" t="str">
        <f t="shared" si="3"/>
        <v>IResD</v>
      </c>
      <c r="C31" s="2">
        <f>IF(ISTEXT(D31),MAX($C$5:$C30)+1,"")</f>
        <v>26</v>
      </c>
      <c r="D31" s="146" t="s">
        <v>11</v>
      </c>
      <c r="E31" s="56" t="s">
        <v>929</v>
      </c>
      <c r="F31" s="109" t="s">
        <v>43</v>
      </c>
      <c r="G31" s="29"/>
      <c r="H31" s="33"/>
      <c r="I31" s="32">
        <f t="shared" si="1"/>
        <v>1</v>
      </c>
      <c r="J31" s="30">
        <f t="shared" si="2"/>
        <v>0</v>
      </c>
      <c r="K31" s="113">
        <f t="shared" si="0"/>
        <v>0</v>
      </c>
      <c r="L31" s="38"/>
    </row>
    <row r="32" spans="2:12" ht="30" customHeight="1" x14ac:dyDescent="0.3">
      <c r="B32" s="37" t="str">
        <f t="shared" si="3"/>
        <v>IResD</v>
      </c>
      <c r="C32" s="2">
        <f>IF(ISTEXT(D32),MAX($C$5:$C31)+1,"")</f>
        <v>27</v>
      </c>
      <c r="D32" s="146" t="s">
        <v>11</v>
      </c>
      <c r="E32" s="56" t="s">
        <v>930</v>
      </c>
      <c r="F32" s="109" t="s">
        <v>43</v>
      </c>
      <c r="G32" s="29"/>
      <c r="H32" s="33"/>
      <c r="I32" s="32">
        <f t="shared" si="1"/>
        <v>1</v>
      </c>
      <c r="J32" s="30">
        <f t="shared" si="2"/>
        <v>0</v>
      </c>
      <c r="K32" s="113">
        <f t="shared" si="0"/>
        <v>0</v>
      </c>
      <c r="L32" s="38"/>
    </row>
    <row r="33" spans="2:12" ht="55.2" x14ac:dyDescent="0.3">
      <c r="B33" s="37" t="str">
        <f t="shared" si="3"/>
        <v>IResD</v>
      </c>
      <c r="C33" s="2">
        <f>IF(ISTEXT(D33),MAX($C$5:$C32)+1,"")</f>
        <v>28</v>
      </c>
      <c r="D33" s="146" t="s">
        <v>11</v>
      </c>
      <c r="E33" s="56" t="s">
        <v>921</v>
      </c>
      <c r="F33" s="109" t="s">
        <v>43</v>
      </c>
      <c r="G33" s="29"/>
      <c r="H33" s="33"/>
      <c r="I33" s="32">
        <f t="shared" si="1"/>
        <v>1</v>
      </c>
      <c r="J33" s="30">
        <f t="shared" si="2"/>
        <v>0</v>
      </c>
      <c r="K33" s="113">
        <f t="shared" si="0"/>
        <v>0</v>
      </c>
      <c r="L33" s="38"/>
    </row>
    <row r="34" spans="2:12" ht="15.6" x14ac:dyDescent="0.3">
      <c r="B34" s="67" t="s">
        <v>931</v>
      </c>
      <c r="C34" s="67"/>
      <c r="D34" s="67"/>
      <c r="E34" s="76"/>
      <c r="F34" s="67"/>
      <c r="G34" s="67"/>
      <c r="H34" s="67"/>
      <c r="I34" s="67"/>
      <c r="J34" s="67"/>
      <c r="K34" s="31"/>
      <c r="L34" s="67"/>
    </row>
    <row r="35" spans="2:12" ht="30" customHeight="1" x14ac:dyDescent="0.3">
      <c r="B35" s="37" t="str">
        <f t="shared" si="3"/>
        <v>IResD</v>
      </c>
      <c r="C35" s="2">
        <f>IF(ISTEXT(D35),MAX($C$5:$C33)+1,"")</f>
        <v>29</v>
      </c>
      <c r="D35" s="146" t="s">
        <v>11</v>
      </c>
      <c r="E35" s="63" t="s">
        <v>932</v>
      </c>
      <c r="F35" s="109" t="s">
        <v>43</v>
      </c>
      <c r="G35" s="29"/>
      <c r="H35" s="33"/>
      <c r="I35" s="32">
        <f t="shared" si="1"/>
        <v>1</v>
      </c>
      <c r="J35" s="30">
        <f t="shared" si="2"/>
        <v>0</v>
      </c>
      <c r="K35" s="113">
        <f t="shared" si="0"/>
        <v>0</v>
      </c>
      <c r="L35" s="38"/>
    </row>
    <row r="36" spans="2:12" ht="30" customHeight="1" x14ac:dyDescent="0.3">
      <c r="B36" s="37" t="str">
        <f t="shared" si="3"/>
        <v>IResD</v>
      </c>
      <c r="C36" s="2">
        <f>IF(ISTEXT(D36),MAX($C$5:$C35)+1,"")</f>
        <v>30</v>
      </c>
      <c r="D36" s="146" t="s">
        <v>11</v>
      </c>
      <c r="E36" s="55" t="s">
        <v>933</v>
      </c>
      <c r="F36" s="109" t="s">
        <v>43</v>
      </c>
      <c r="G36" s="29"/>
      <c r="H36" s="33"/>
      <c r="I36" s="32">
        <f t="shared" si="1"/>
        <v>1</v>
      </c>
      <c r="J36" s="30">
        <f t="shared" si="2"/>
        <v>0</v>
      </c>
      <c r="K36" s="113">
        <f t="shared" si="0"/>
        <v>0</v>
      </c>
      <c r="L36" s="38"/>
    </row>
    <row r="37" spans="2:12" ht="30" customHeight="1" x14ac:dyDescent="0.3">
      <c r="B37" s="37" t="str">
        <f t="shared" si="3"/>
        <v>IResD</v>
      </c>
      <c r="C37" s="2">
        <f>IF(ISTEXT(D37),MAX($C$5:$C36)+1,"")</f>
        <v>31</v>
      </c>
      <c r="D37" s="146" t="s">
        <v>11</v>
      </c>
      <c r="E37" s="55" t="s">
        <v>934</v>
      </c>
      <c r="F37" s="109" t="s">
        <v>43</v>
      </c>
      <c r="G37" s="29"/>
      <c r="H37" s="33"/>
      <c r="I37" s="32">
        <f t="shared" si="1"/>
        <v>1</v>
      </c>
      <c r="J37" s="30">
        <f t="shared" si="2"/>
        <v>0</v>
      </c>
      <c r="K37" s="113">
        <f t="shared" si="0"/>
        <v>0</v>
      </c>
      <c r="L37" s="38"/>
    </row>
    <row r="38" spans="2:12" ht="30" customHeight="1" x14ac:dyDescent="0.3">
      <c r="B38" s="40" t="str">
        <f t="shared" ref="B38" si="5">IF(C38="","",$B$4)</f>
        <v/>
      </c>
      <c r="C38" s="1" t="str">
        <f>IF(ISTEXT(D38),MAX($C$6:$C37)+1,"")</f>
        <v/>
      </c>
      <c r="D38" s="3"/>
      <c r="E38" s="64" t="s">
        <v>935</v>
      </c>
      <c r="F38" s="115"/>
      <c r="G38" s="31"/>
      <c r="H38" s="31"/>
      <c r="I38" s="31"/>
      <c r="J38" s="31"/>
      <c r="K38" s="31"/>
      <c r="L38" s="31"/>
    </row>
    <row r="39" spans="2:12" ht="30" customHeight="1" x14ac:dyDescent="0.3">
      <c r="B39" s="37" t="str">
        <f t="shared" si="3"/>
        <v>IResD</v>
      </c>
      <c r="C39" s="2">
        <f>IF(ISTEXT(D39),MAX($C$5:$C37)+1,"")</f>
        <v>32</v>
      </c>
      <c r="D39" s="146" t="s">
        <v>11</v>
      </c>
      <c r="E39" s="81" t="s">
        <v>936</v>
      </c>
      <c r="F39" s="109" t="s">
        <v>43</v>
      </c>
      <c r="G39" s="29"/>
      <c r="H39" s="33"/>
      <c r="I39" s="32">
        <f t="shared" si="1"/>
        <v>1</v>
      </c>
      <c r="J39" s="30">
        <f t="shared" si="2"/>
        <v>0</v>
      </c>
      <c r="K39" s="113">
        <f t="shared" si="0"/>
        <v>0</v>
      </c>
      <c r="L39" s="38"/>
    </row>
    <row r="40" spans="2:12" ht="30" customHeight="1" x14ac:dyDescent="0.3">
      <c r="B40" s="37" t="str">
        <f t="shared" si="3"/>
        <v>IResD</v>
      </c>
      <c r="C40" s="2">
        <f>IF(ISTEXT(D40),MAX($C$5:$C39)+1,"")</f>
        <v>33</v>
      </c>
      <c r="D40" s="146" t="s">
        <v>11</v>
      </c>
      <c r="E40" s="81" t="s">
        <v>937</v>
      </c>
      <c r="F40" s="109" t="s">
        <v>43</v>
      </c>
      <c r="G40" s="29"/>
      <c r="H40" s="33"/>
      <c r="I40" s="32">
        <f t="shared" si="1"/>
        <v>1</v>
      </c>
      <c r="J40" s="30">
        <f t="shared" si="2"/>
        <v>0</v>
      </c>
      <c r="K40" s="113">
        <f t="shared" si="0"/>
        <v>0</v>
      </c>
      <c r="L40" s="38"/>
    </row>
    <row r="41" spans="2:12" ht="30" customHeight="1" x14ac:dyDescent="0.3">
      <c r="B41" s="37" t="str">
        <f t="shared" si="3"/>
        <v>IResD</v>
      </c>
      <c r="C41" s="2">
        <f>IF(ISTEXT(D41),MAX($C$5:$C40)+1,"")</f>
        <v>34</v>
      </c>
      <c r="D41" s="146" t="s">
        <v>11</v>
      </c>
      <c r="E41" s="81" t="s">
        <v>938</v>
      </c>
      <c r="F41" s="109" t="s">
        <v>43</v>
      </c>
      <c r="G41" s="29"/>
      <c r="H41" s="33"/>
      <c r="I41" s="32">
        <f t="shared" si="1"/>
        <v>1</v>
      </c>
      <c r="J41" s="30">
        <f t="shared" si="2"/>
        <v>0</v>
      </c>
      <c r="K41" s="113">
        <f t="shared" si="0"/>
        <v>0</v>
      </c>
      <c r="L41" s="38"/>
    </row>
    <row r="42" spans="2:12" ht="30" customHeight="1" x14ac:dyDescent="0.3">
      <c r="B42" s="37" t="str">
        <f t="shared" si="3"/>
        <v>IResD</v>
      </c>
      <c r="C42" s="2">
        <f>IF(ISTEXT(D42),MAX($C$5:$C41)+1,"")</f>
        <v>35</v>
      </c>
      <c r="D42" s="146" t="s">
        <v>11</v>
      </c>
      <c r="E42" s="81" t="s">
        <v>939</v>
      </c>
      <c r="F42" s="109" t="s">
        <v>43</v>
      </c>
      <c r="G42" s="29"/>
      <c r="H42" s="33"/>
      <c r="I42" s="32">
        <f t="shared" si="1"/>
        <v>1</v>
      </c>
      <c r="J42" s="30">
        <f t="shared" si="2"/>
        <v>0</v>
      </c>
      <c r="K42" s="113">
        <f t="shared" si="0"/>
        <v>0</v>
      </c>
      <c r="L42" s="38"/>
    </row>
    <row r="43" spans="2:12" ht="30" customHeight="1" x14ac:dyDescent="0.3">
      <c r="B43" s="37" t="str">
        <f t="shared" si="3"/>
        <v>IResD</v>
      </c>
      <c r="C43" s="2">
        <f>IF(ISTEXT(D43),MAX($C$5:$C42)+1,"")</f>
        <v>36</v>
      </c>
      <c r="D43" s="146" t="s">
        <v>11</v>
      </c>
      <c r="E43" s="81" t="s">
        <v>940</v>
      </c>
      <c r="F43" s="109" t="s">
        <v>43</v>
      </c>
      <c r="G43" s="29"/>
      <c r="H43" s="33"/>
      <c r="I43" s="32">
        <f t="shared" si="1"/>
        <v>1</v>
      </c>
      <c r="J43" s="30">
        <f t="shared" si="2"/>
        <v>0</v>
      </c>
      <c r="K43" s="113">
        <f t="shared" si="0"/>
        <v>0</v>
      </c>
      <c r="L43" s="38"/>
    </row>
    <row r="44" spans="2:12" ht="30" customHeight="1" x14ac:dyDescent="0.3">
      <c r="B44" s="37" t="str">
        <f t="shared" si="3"/>
        <v>IResD</v>
      </c>
      <c r="C44" s="2">
        <f>IF(ISTEXT(D44),MAX($C$5:$C43)+1,"")</f>
        <v>37</v>
      </c>
      <c r="D44" s="146" t="s">
        <v>11</v>
      </c>
      <c r="E44" s="55" t="s">
        <v>941</v>
      </c>
      <c r="F44" s="109" t="s">
        <v>43</v>
      </c>
      <c r="G44" s="29"/>
      <c r="H44" s="33"/>
      <c r="I44" s="32">
        <f t="shared" si="1"/>
        <v>1</v>
      </c>
      <c r="J44" s="30">
        <f t="shared" si="2"/>
        <v>0</v>
      </c>
      <c r="K44" s="113">
        <f t="shared" si="0"/>
        <v>0</v>
      </c>
      <c r="L44" s="38"/>
    </row>
    <row r="45" spans="2:12" ht="30" customHeight="1" x14ac:dyDescent="0.3">
      <c r="B45" s="37" t="str">
        <f t="shared" si="3"/>
        <v>IResD</v>
      </c>
      <c r="C45" s="2">
        <f>IF(ISTEXT(D45),MAX($C$5:$C44)+1,"")</f>
        <v>38</v>
      </c>
      <c r="D45" s="146" t="s">
        <v>11</v>
      </c>
      <c r="E45" s="55" t="s">
        <v>942</v>
      </c>
      <c r="F45" s="109" t="s">
        <v>43</v>
      </c>
      <c r="G45" s="29"/>
      <c r="H45" s="33"/>
      <c r="I45" s="32">
        <f t="shared" si="1"/>
        <v>1</v>
      </c>
      <c r="J45" s="30">
        <f t="shared" si="2"/>
        <v>0</v>
      </c>
      <c r="K45" s="113">
        <f t="shared" si="0"/>
        <v>0</v>
      </c>
      <c r="L45" s="38"/>
    </row>
    <row r="46" spans="2:12" x14ac:dyDescent="0.3">
      <c r="F46" s="35"/>
      <c r="G46"/>
    </row>
  </sheetData>
  <sheetProtection selectLockedCells="1"/>
  <conditionalFormatting sqref="D5:D8 D10:D33 D35:D37">
    <cfRule type="cellIs" dxfId="80" priority="19" operator="equal">
      <formula>"Important"</formula>
    </cfRule>
    <cfRule type="cellIs" dxfId="79" priority="20" operator="equal">
      <formula>"Crucial"</formula>
    </cfRule>
    <cfRule type="cellIs" dxfId="78" priority="21" operator="equal">
      <formula>"N/A"</formula>
    </cfRule>
  </conditionalFormatting>
  <conditionalFormatting sqref="D39:D45">
    <cfRule type="cellIs" dxfId="77" priority="16" operator="equal">
      <formula>"Important"</formula>
    </cfRule>
    <cfRule type="cellIs" dxfId="76" priority="17" operator="equal">
      <formula>"Crucial"</formula>
    </cfRule>
    <cfRule type="cellIs" dxfId="75" priority="18" operator="equal">
      <formula>"N/A"</formula>
    </cfRule>
  </conditionalFormatting>
  <conditionalFormatting sqref="F5:F33">
    <cfRule type="cellIs" dxfId="74" priority="4" operator="equal">
      <formula>"Function Not Available"</formula>
    </cfRule>
    <cfRule type="cellIs" dxfId="73" priority="5" operator="equal">
      <formula>"Function Available"</formula>
    </cfRule>
    <cfRule type="cellIs" dxfId="72" priority="6" operator="equal">
      <formula>"Exception"</formula>
    </cfRule>
  </conditionalFormatting>
  <conditionalFormatting sqref="F35:F45">
    <cfRule type="cellIs" dxfId="71" priority="1" operator="equal">
      <formula>"Function Not Available"</formula>
    </cfRule>
    <cfRule type="cellIs" dxfId="70" priority="2" operator="equal">
      <formula>"Function Available"</formula>
    </cfRule>
    <cfRule type="cellIs" dxfId="69" priority="3" operator="equal">
      <formula>"Exception"</formula>
    </cfRule>
  </conditionalFormatting>
  <dataValidations count="3">
    <dataValidation type="list" allowBlank="1" showInputMessage="1" showErrorMessage="1" errorTitle="Invalid specification type" error="Please enter a Specification type from the drop-down list." sqref="F7:F8 F10:F33 F35:F37 F39:F45" xr:uid="{00000000-0002-0000-1C00-000000000000}">
      <formula1>AvailabilityType</formula1>
    </dataValidation>
    <dataValidation type="list" allowBlank="1" showInputMessage="1" showErrorMessage="1" sqref="D5:D8 D10:D33 D35:D37 D39:D45" xr:uid="{00000000-0002-0000-1C00-000001000000}">
      <formula1>SpecType</formula1>
    </dataValidation>
    <dataValidation type="list" allowBlank="1" showInputMessage="1" showErrorMessage="1" sqref="F5:F6" xr:uid="{00000000-0002-0000-1C00-000002000000}">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00"/>
    <pageSetUpPr fitToPage="1"/>
  </sheetPr>
  <dimension ref="A1:M43"/>
  <sheetViews>
    <sheetView showGridLines="0" tabSelected="1" zoomScaleNormal="100" zoomScalePageLayoutView="40" workbookViewId="0">
      <selection activeCell="F4" sqref="F4"/>
    </sheetView>
  </sheetViews>
  <sheetFormatPr defaultColWidth="0" defaultRowHeight="14.4" zeroHeight="1" x14ac:dyDescent="0.3"/>
  <cols>
    <col min="1" max="1" width="2"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7.95" customHeight="1" x14ac:dyDescent="0.3"/>
    <row r="2" spans="2:12" s="158" customFormat="1" ht="129" customHeight="1" thickBot="1" x14ac:dyDescent="0.3">
      <c r="B2" s="96" t="s">
        <v>44</v>
      </c>
      <c r="C2" s="97" t="s">
        <v>45</v>
      </c>
      <c r="D2" s="97" t="s">
        <v>46</v>
      </c>
      <c r="E2" s="97" t="s">
        <v>47</v>
      </c>
      <c r="F2" s="97" t="s">
        <v>42</v>
      </c>
      <c r="G2" s="98" t="s">
        <v>48</v>
      </c>
      <c r="H2" s="98" t="s">
        <v>49</v>
      </c>
      <c r="I2" s="99" t="s">
        <v>50</v>
      </c>
      <c r="J2" s="99" t="s">
        <v>51</v>
      </c>
      <c r="K2" s="100" t="s">
        <v>14</v>
      </c>
      <c r="L2" s="101" t="s">
        <v>52</v>
      </c>
    </row>
    <row r="3" spans="2:12" ht="16.2" thickBot="1" x14ac:dyDescent="0.35">
      <c r="B3" s="8" t="s">
        <v>53</v>
      </c>
      <c r="C3" s="8"/>
      <c r="D3" s="8"/>
      <c r="E3" s="8"/>
      <c r="F3" s="8"/>
      <c r="G3" s="34" t="s">
        <v>54</v>
      </c>
      <c r="H3" s="7">
        <f>COUNTA(D4:D501)</f>
        <v>39</v>
      </c>
      <c r="I3" s="24"/>
      <c r="J3" s="25" t="s">
        <v>55</v>
      </c>
      <c r="K3" s="26">
        <f>SUM(K4:K42)</f>
        <v>0</v>
      </c>
      <c r="L3" s="8"/>
    </row>
    <row r="4" spans="2:12" ht="30" customHeight="1" x14ac:dyDescent="0.3">
      <c r="B4" s="37" t="s">
        <v>56</v>
      </c>
      <c r="C4" s="2">
        <v>1</v>
      </c>
      <c r="D4" s="159" t="s">
        <v>9</v>
      </c>
      <c r="E4" s="160" t="s">
        <v>57</v>
      </c>
      <c r="F4" s="176" t="s">
        <v>43</v>
      </c>
      <c r="G4" s="177" t="s">
        <v>58</v>
      </c>
      <c r="H4" s="178">
        <f>COUNTIF(F4:F501,"Select from Drop Down")</f>
        <v>39</v>
      </c>
      <c r="I4" s="179">
        <f>VLOOKUP($D4,SpecData,2,FALSE)</f>
        <v>3</v>
      </c>
      <c r="J4" s="180">
        <f>VLOOKUP($F4,AvailabilityData,2,FALSE)</f>
        <v>0</v>
      </c>
      <c r="K4" s="181">
        <f t="shared" ref="K4:K42" si="0">I4*J4</f>
        <v>0</v>
      </c>
      <c r="L4" s="38"/>
    </row>
    <row r="5" spans="2:12" ht="30" customHeight="1" x14ac:dyDescent="0.3">
      <c r="B5" s="37" t="str">
        <f>IF(C5="","",$B$4)</f>
        <v>IGen</v>
      </c>
      <c r="C5" s="2">
        <f>IF(ISTEXT(D5),MAX($C$4:$C4)+1,"")</f>
        <v>2</v>
      </c>
      <c r="D5" s="159" t="s">
        <v>9</v>
      </c>
      <c r="E5" s="160" t="s">
        <v>59</v>
      </c>
      <c r="F5" s="182" t="s">
        <v>43</v>
      </c>
      <c r="G5" s="177" t="s">
        <v>60</v>
      </c>
      <c r="H5" s="178">
        <f>COUNTIF(F4:F501,"Function Available")</f>
        <v>0</v>
      </c>
      <c r="I5" s="179">
        <f>VLOOKUP($D5,SpecData,2,FALSE)</f>
        <v>3</v>
      </c>
      <c r="J5" s="180">
        <f>VLOOKUP($F5,AvailabilityData,2,FALSE)</f>
        <v>0</v>
      </c>
      <c r="K5" s="181">
        <f t="shared" si="0"/>
        <v>0</v>
      </c>
      <c r="L5" s="38"/>
    </row>
    <row r="6" spans="2:12" ht="30" customHeight="1" x14ac:dyDescent="0.3">
      <c r="B6" s="37" t="str">
        <f>IF(C6="","",$B$4)</f>
        <v>IGen</v>
      </c>
      <c r="C6" s="2">
        <f>IF(ISTEXT(D6),MAX($C$4:$C5)+1,"")</f>
        <v>3</v>
      </c>
      <c r="D6" s="159" t="s">
        <v>9</v>
      </c>
      <c r="E6" s="160" t="s">
        <v>61</v>
      </c>
      <c r="F6" s="183" t="s">
        <v>43</v>
      </c>
      <c r="G6" s="177" t="s">
        <v>62</v>
      </c>
      <c r="H6" s="184">
        <f>COUNTIF(F4:F501,"Function Not Available")</f>
        <v>0</v>
      </c>
      <c r="I6" s="179">
        <f t="shared" ref="I6:I12" si="1">VLOOKUP($D6,SpecData,2,FALSE)</f>
        <v>3</v>
      </c>
      <c r="J6" s="180">
        <f t="shared" ref="J6:J12" si="2">VLOOKUP($F6,AvailabilityData,2,FALSE)</f>
        <v>0</v>
      </c>
      <c r="K6" s="181">
        <f t="shared" si="0"/>
        <v>0</v>
      </c>
      <c r="L6" s="38"/>
    </row>
    <row r="7" spans="2:12" ht="30" customHeight="1" x14ac:dyDescent="0.3">
      <c r="B7" s="37" t="str">
        <f t="shared" ref="B7:B42" si="3">IF(C7="","",$B$4)</f>
        <v>IGen</v>
      </c>
      <c r="C7" s="2">
        <f>IF(ISTEXT(D7),MAX($C$4:$C6)+1,"")</f>
        <v>4</v>
      </c>
      <c r="D7" s="159" t="s">
        <v>9</v>
      </c>
      <c r="E7" s="160" t="s">
        <v>63</v>
      </c>
      <c r="F7" s="182" t="s">
        <v>43</v>
      </c>
      <c r="G7" s="177" t="s">
        <v>64</v>
      </c>
      <c r="H7" s="184">
        <f>COUNTIF(F4:F501,"Exception")</f>
        <v>0</v>
      </c>
      <c r="I7" s="179">
        <f t="shared" si="1"/>
        <v>3</v>
      </c>
      <c r="J7" s="180">
        <f t="shared" si="2"/>
        <v>0</v>
      </c>
      <c r="K7" s="181">
        <f t="shared" si="0"/>
        <v>0</v>
      </c>
      <c r="L7" s="38"/>
    </row>
    <row r="8" spans="2:12" ht="30" customHeight="1" x14ac:dyDescent="0.3">
      <c r="B8" s="37" t="str">
        <f t="shared" si="3"/>
        <v>IGen</v>
      </c>
      <c r="C8" s="2">
        <f>IF(ISTEXT(D8),MAX($C$4:$C7)+1,"")</f>
        <v>5</v>
      </c>
      <c r="D8" s="159" t="s">
        <v>9</v>
      </c>
      <c r="E8" s="160" t="s">
        <v>65</v>
      </c>
      <c r="F8" s="182" t="s">
        <v>43</v>
      </c>
      <c r="G8" s="177" t="s">
        <v>66</v>
      </c>
      <c r="H8" s="185">
        <f>COUNTIFS(D:D,"=Crucial",F:F,"=Select From Drop Down")</f>
        <v>22</v>
      </c>
      <c r="I8" s="179">
        <f t="shared" si="1"/>
        <v>3</v>
      </c>
      <c r="J8" s="180">
        <f t="shared" si="2"/>
        <v>0</v>
      </c>
      <c r="K8" s="181">
        <f t="shared" si="0"/>
        <v>0</v>
      </c>
      <c r="L8" s="38"/>
    </row>
    <row r="9" spans="2:12" ht="30" customHeight="1" x14ac:dyDescent="0.3">
      <c r="B9" s="37" t="str">
        <f t="shared" si="3"/>
        <v>IGen</v>
      </c>
      <c r="C9" s="2">
        <f>IF(ISTEXT(D9),MAX($C$4:$C8)+1,"")</f>
        <v>6</v>
      </c>
      <c r="D9" s="159" t="s">
        <v>10</v>
      </c>
      <c r="E9" s="162" t="s">
        <v>67</v>
      </c>
      <c r="F9" s="182" t="s">
        <v>43</v>
      </c>
      <c r="G9" s="177" t="s">
        <v>68</v>
      </c>
      <c r="H9" s="185">
        <f>COUNTIFS(D:D,"=Crucial",F:F,"=Function Available")</f>
        <v>0</v>
      </c>
      <c r="I9" s="179">
        <f t="shared" si="1"/>
        <v>2</v>
      </c>
      <c r="J9" s="180">
        <f t="shared" si="2"/>
        <v>0</v>
      </c>
      <c r="K9" s="181">
        <f t="shared" si="0"/>
        <v>0</v>
      </c>
      <c r="L9" s="38"/>
    </row>
    <row r="10" spans="2:12" ht="30" customHeight="1" x14ac:dyDescent="0.3">
      <c r="B10" s="37" t="str">
        <f t="shared" si="3"/>
        <v>IGen</v>
      </c>
      <c r="C10" s="2">
        <f>IF(ISTEXT(D10),MAX($C$4:$C9)+1,"")</f>
        <v>7</v>
      </c>
      <c r="D10" s="159" t="s">
        <v>9</v>
      </c>
      <c r="E10" s="160" t="s">
        <v>69</v>
      </c>
      <c r="F10" s="182" t="s">
        <v>43</v>
      </c>
      <c r="G10" s="177" t="s">
        <v>70</v>
      </c>
      <c r="H10" s="185">
        <f>COUNTIFS(D:D,"=Crucial",F:F,"=Function Not Available")</f>
        <v>0</v>
      </c>
      <c r="I10" s="179">
        <f t="shared" si="1"/>
        <v>3</v>
      </c>
      <c r="J10" s="180">
        <f t="shared" si="2"/>
        <v>0</v>
      </c>
      <c r="K10" s="181">
        <f t="shared" si="0"/>
        <v>0</v>
      </c>
      <c r="L10" s="38"/>
    </row>
    <row r="11" spans="2:12" ht="30" customHeight="1" x14ac:dyDescent="0.3">
      <c r="B11" s="37" t="str">
        <f t="shared" si="3"/>
        <v>IGen</v>
      </c>
      <c r="C11" s="2">
        <f>IF(ISTEXT(D11),MAX($C$4:$C10)+1,"")</f>
        <v>8</v>
      </c>
      <c r="D11" s="159" t="s">
        <v>9</v>
      </c>
      <c r="E11" s="163" t="s">
        <v>71</v>
      </c>
      <c r="F11" s="182" t="s">
        <v>43</v>
      </c>
      <c r="G11" s="177" t="s">
        <v>72</v>
      </c>
      <c r="H11" s="185">
        <f>COUNTIFS(D:D,"=Crucial",F:F,"=Exception")</f>
        <v>0</v>
      </c>
      <c r="I11" s="179">
        <f t="shared" si="1"/>
        <v>3</v>
      </c>
      <c r="J11" s="180">
        <f t="shared" si="2"/>
        <v>0</v>
      </c>
      <c r="K11" s="181">
        <f t="shared" si="0"/>
        <v>0</v>
      </c>
      <c r="L11" s="38"/>
    </row>
    <row r="12" spans="2:12" ht="30" customHeight="1" x14ac:dyDescent="0.3">
      <c r="B12" s="37" t="str">
        <f t="shared" si="3"/>
        <v>IGen</v>
      </c>
      <c r="C12" s="2">
        <f>IF(ISTEXT(D12),MAX($C$4:$C11)+1,"")</f>
        <v>9</v>
      </c>
      <c r="D12" s="159" t="s">
        <v>9</v>
      </c>
      <c r="E12" s="162" t="s">
        <v>73</v>
      </c>
      <c r="F12" s="182" t="s">
        <v>43</v>
      </c>
      <c r="G12" s="186" t="s">
        <v>74</v>
      </c>
      <c r="H12" s="187">
        <f>COUNTIFS(D:D,"=Important",F:F,"=Select From Drop Down")</f>
        <v>9</v>
      </c>
      <c r="I12" s="179">
        <f t="shared" si="1"/>
        <v>3</v>
      </c>
      <c r="J12" s="180">
        <f t="shared" si="2"/>
        <v>0</v>
      </c>
      <c r="K12" s="181">
        <f t="shared" si="0"/>
        <v>0</v>
      </c>
      <c r="L12" s="38"/>
    </row>
    <row r="13" spans="2:12" ht="30" customHeight="1" x14ac:dyDescent="0.3">
      <c r="B13" s="37" t="str">
        <f t="shared" si="3"/>
        <v>IGen</v>
      </c>
      <c r="C13" s="2">
        <f>IF(ISTEXT(D13),MAX($C$4:$C12)+1,"")</f>
        <v>10</v>
      </c>
      <c r="D13" s="159" t="s">
        <v>9</v>
      </c>
      <c r="E13" s="160" t="s">
        <v>75</v>
      </c>
      <c r="F13" s="182" t="s">
        <v>43</v>
      </c>
      <c r="G13" s="186" t="s">
        <v>76</v>
      </c>
      <c r="H13" s="187">
        <f>COUNTIFS(D:D,"=Important",F:F,"=Function Available")</f>
        <v>0</v>
      </c>
      <c r="I13" s="179">
        <f t="shared" ref="I13:I24" si="4">VLOOKUP($D13,SpecData,2,FALSE)</f>
        <v>3</v>
      </c>
      <c r="J13" s="180">
        <f t="shared" ref="J13:J24" si="5">VLOOKUP($F13,AvailabilityData,2,FALSE)</f>
        <v>0</v>
      </c>
      <c r="K13" s="181">
        <f t="shared" si="0"/>
        <v>0</v>
      </c>
      <c r="L13" s="38"/>
    </row>
    <row r="14" spans="2:12" ht="45.75" customHeight="1" x14ac:dyDescent="0.3">
      <c r="B14" s="37" t="str">
        <f t="shared" si="3"/>
        <v>IGen</v>
      </c>
      <c r="C14" s="2">
        <f>IF(ISTEXT(D14),MAX($C$4:$C13)+1,"")</f>
        <v>11</v>
      </c>
      <c r="D14" s="159" t="s">
        <v>11</v>
      </c>
      <c r="E14" s="160" t="s">
        <v>77</v>
      </c>
      <c r="F14" s="182" t="s">
        <v>43</v>
      </c>
      <c r="G14" s="177" t="s">
        <v>78</v>
      </c>
      <c r="H14" s="185">
        <f>COUNTIFS(D:D,"=Important",F:F,"=Function Not Available")</f>
        <v>0</v>
      </c>
      <c r="I14" s="188">
        <f t="shared" si="4"/>
        <v>1</v>
      </c>
      <c r="J14" s="189">
        <f t="shared" si="5"/>
        <v>0</v>
      </c>
      <c r="K14" s="181">
        <f t="shared" si="0"/>
        <v>0</v>
      </c>
      <c r="L14" s="38"/>
    </row>
    <row r="15" spans="2:12" ht="30" customHeight="1" x14ac:dyDescent="0.3">
      <c r="B15" s="37" t="str">
        <f t="shared" si="3"/>
        <v>IGen</v>
      </c>
      <c r="C15" s="2">
        <f>IF(ISTEXT(D15),MAX($C$4:$C14)+1,"")</f>
        <v>12</v>
      </c>
      <c r="D15" s="159" t="s">
        <v>9</v>
      </c>
      <c r="E15" s="160" t="s">
        <v>79</v>
      </c>
      <c r="F15" s="182" t="s">
        <v>43</v>
      </c>
      <c r="G15" s="177" t="s">
        <v>80</v>
      </c>
      <c r="H15" s="185">
        <f>COUNTIFS(D:D,"=Important",F:F,"=Exception")</f>
        <v>0</v>
      </c>
      <c r="I15" s="188">
        <f t="shared" si="4"/>
        <v>3</v>
      </c>
      <c r="J15" s="189">
        <f t="shared" si="5"/>
        <v>0</v>
      </c>
      <c r="K15" s="181">
        <f t="shared" si="0"/>
        <v>0</v>
      </c>
      <c r="L15" s="38"/>
    </row>
    <row r="16" spans="2:12" ht="30" customHeight="1" x14ac:dyDescent="0.3">
      <c r="B16" s="37" t="str">
        <f t="shared" si="3"/>
        <v>IGen</v>
      </c>
      <c r="C16" s="2">
        <f>IF(ISTEXT(D16),MAX($C$4:$C15)+1,"")</f>
        <v>13</v>
      </c>
      <c r="D16" s="159" t="s">
        <v>9</v>
      </c>
      <c r="E16" s="162" t="s">
        <v>81</v>
      </c>
      <c r="F16" s="183" t="s">
        <v>43</v>
      </c>
      <c r="G16" s="177" t="s">
        <v>82</v>
      </c>
      <c r="H16" s="185">
        <f>COUNTIFS(D:D,"=Minimal",F:F,"=Select From Drop Down")</f>
        <v>7</v>
      </c>
      <c r="I16" s="188">
        <f t="shared" si="4"/>
        <v>3</v>
      </c>
      <c r="J16" s="189">
        <f t="shared" si="5"/>
        <v>0</v>
      </c>
      <c r="K16" s="181">
        <f t="shared" si="0"/>
        <v>0</v>
      </c>
      <c r="L16" s="38"/>
    </row>
    <row r="17" spans="2:12" ht="30" customHeight="1" x14ac:dyDescent="0.3">
      <c r="B17" s="37" t="str">
        <f t="shared" si="3"/>
        <v>IGen</v>
      </c>
      <c r="C17" s="2">
        <f>IF(ISTEXT(D17),MAX($C$4:$C16)+1,"")</f>
        <v>14</v>
      </c>
      <c r="D17" s="159" t="s">
        <v>11</v>
      </c>
      <c r="E17" s="162" t="s">
        <v>83</v>
      </c>
      <c r="F17" s="182" t="s">
        <v>43</v>
      </c>
      <c r="G17" s="177" t="s">
        <v>84</v>
      </c>
      <c r="H17" s="185">
        <f>COUNTIFS(D:D,"=Minimal",F:F,"=Function Available")</f>
        <v>0</v>
      </c>
      <c r="I17" s="188">
        <f t="shared" si="4"/>
        <v>1</v>
      </c>
      <c r="J17" s="189">
        <f t="shared" si="5"/>
        <v>0</v>
      </c>
      <c r="K17" s="181">
        <f t="shared" si="0"/>
        <v>0</v>
      </c>
      <c r="L17" s="38"/>
    </row>
    <row r="18" spans="2:12" ht="30" customHeight="1" x14ac:dyDescent="0.3">
      <c r="B18" s="37" t="str">
        <f t="shared" si="3"/>
        <v>IGen</v>
      </c>
      <c r="C18" s="2">
        <f>IF(ISTEXT(D18),MAX($C$4:$C17)+1,"")</f>
        <v>15</v>
      </c>
      <c r="D18" s="159" t="s">
        <v>9</v>
      </c>
      <c r="E18" s="162" t="s">
        <v>85</v>
      </c>
      <c r="F18" s="182" t="s">
        <v>43</v>
      </c>
      <c r="G18" s="177" t="s">
        <v>86</v>
      </c>
      <c r="H18" s="185">
        <f>COUNTIFS(D:D,"=Minimal",F:F,"=Function Not Available")</f>
        <v>0</v>
      </c>
      <c r="I18" s="188">
        <f t="shared" si="4"/>
        <v>3</v>
      </c>
      <c r="J18" s="189">
        <f t="shared" si="5"/>
        <v>0</v>
      </c>
      <c r="K18" s="181">
        <f t="shared" si="0"/>
        <v>0</v>
      </c>
      <c r="L18" s="38"/>
    </row>
    <row r="19" spans="2:12" ht="30" customHeight="1" x14ac:dyDescent="0.3">
      <c r="B19" s="37" t="str">
        <f t="shared" si="3"/>
        <v>IGen</v>
      </c>
      <c r="C19" s="2">
        <f>IF(ISTEXT(D19),MAX($C$4:$C18)+1,"")</f>
        <v>16</v>
      </c>
      <c r="D19" s="159" t="s">
        <v>9</v>
      </c>
      <c r="E19" s="162" t="s">
        <v>87</v>
      </c>
      <c r="F19" s="182" t="s">
        <v>43</v>
      </c>
      <c r="G19" s="177" t="s">
        <v>88</v>
      </c>
      <c r="H19" s="185">
        <f>COUNTIFS(D:D,"=Minimal",F:F,"=Exception")</f>
        <v>0</v>
      </c>
      <c r="I19" s="188">
        <f t="shared" si="4"/>
        <v>3</v>
      </c>
      <c r="J19" s="189">
        <f t="shared" si="5"/>
        <v>0</v>
      </c>
      <c r="K19" s="181">
        <f t="shared" si="0"/>
        <v>0</v>
      </c>
      <c r="L19" s="38"/>
    </row>
    <row r="20" spans="2:12" ht="30" customHeight="1" x14ac:dyDescent="0.3">
      <c r="B20" s="37" t="str">
        <f t="shared" si="3"/>
        <v>IGen</v>
      </c>
      <c r="C20" s="2">
        <f>IF(ISTEXT(D20),MAX($C$4:$C19)+1,"")</f>
        <v>17</v>
      </c>
      <c r="D20" s="159" t="s">
        <v>9</v>
      </c>
      <c r="E20" s="163" t="s">
        <v>89</v>
      </c>
      <c r="F20" s="182" t="s">
        <v>43</v>
      </c>
      <c r="G20" s="177"/>
      <c r="H20" s="184"/>
      <c r="I20" s="188">
        <f t="shared" si="4"/>
        <v>3</v>
      </c>
      <c r="J20" s="189">
        <f t="shared" si="5"/>
        <v>0</v>
      </c>
      <c r="K20" s="181">
        <f t="shared" si="0"/>
        <v>0</v>
      </c>
      <c r="L20" s="38"/>
    </row>
    <row r="21" spans="2:12" ht="30" customHeight="1" x14ac:dyDescent="0.3">
      <c r="B21" s="37" t="str">
        <f t="shared" si="3"/>
        <v>IGen</v>
      </c>
      <c r="C21" s="2">
        <f>IF(ISTEXT(D21),MAX($C$4:$C20)+1,"")</f>
        <v>18</v>
      </c>
      <c r="D21" s="159" t="s">
        <v>10</v>
      </c>
      <c r="E21" s="162" t="s">
        <v>90</v>
      </c>
      <c r="F21" s="182" t="s">
        <v>43</v>
      </c>
      <c r="G21" s="177"/>
      <c r="H21" s="184"/>
      <c r="I21" s="188">
        <f t="shared" si="4"/>
        <v>2</v>
      </c>
      <c r="J21" s="189">
        <f t="shared" si="5"/>
        <v>0</v>
      </c>
      <c r="K21" s="181">
        <f t="shared" si="0"/>
        <v>0</v>
      </c>
      <c r="L21" s="38"/>
    </row>
    <row r="22" spans="2:12" ht="30" customHeight="1" x14ac:dyDescent="0.3">
      <c r="B22" s="37" t="str">
        <f t="shared" si="3"/>
        <v>IGen</v>
      </c>
      <c r="C22" s="2">
        <f>IF(ISTEXT(D22),MAX($C$4:$C21)+1,"")</f>
        <v>19</v>
      </c>
      <c r="D22" s="159" t="s">
        <v>9</v>
      </c>
      <c r="E22" s="162" t="s">
        <v>91</v>
      </c>
      <c r="F22" s="176" t="s">
        <v>43</v>
      </c>
      <c r="G22" s="177"/>
      <c r="H22" s="184"/>
      <c r="I22" s="188">
        <f t="shared" si="4"/>
        <v>3</v>
      </c>
      <c r="J22" s="189">
        <f t="shared" si="5"/>
        <v>0</v>
      </c>
      <c r="K22" s="181">
        <f t="shared" si="0"/>
        <v>0</v>
      </c>
      <c r="L22" s="38"/>
    </row>
    <row r="23" spans="2:12" ht="30" customHeight="1" x14ac:dyDescent="0.3">
      <c r="B23" s="37" t="str">
        <f t="shared" si="3"/>
        <v>IGen</v>
      </c>
      <c r="C23" s="2">
        <f>IF(ISTEXT(D23),MAX($C$4:$C22)+1,"")</f>
        <v>20</v>
      </c>
      <c r="D23" s="159" t="s">
        <v>9</v>
      </c>
      <c r="E23" s="160" t="s">
        <v>92</v>
      </c>
      <c r="F23" s="182" t="s">
        <v>43</v>
      </c>
      <c r="G23" s="177"/>
      <c r="H23" s="184"/>
      <c r="I23" s="188">
        <f t="shared" si="4"/>
        <v>3</v>
      </c>
      <c r="J23" s="189">
        <f t="shared" si="5"/>
        <v>0</v>
      </c>
      <c r="K23" s="181">
        <f t="shared" si="0"/>
        <v>0</v>
      </c>
      <c r="L23" s="38"/>
    </row>
    <row r="24" spans="2:12" ht="30" customHeight="1" x14ac:dyDescent="0.3">
      <c r="B24" s="37" t="str">
        <f t="shared" si="3"/>
        <v>IGen</v>
      </c>
      <c r="C24" s="2">
        <f>IF(ISTEXT(D24),MAX($C$4:$C23)+1,"")</f>
        <v>21</v>
      </c>
      <c r="D24" s="159" t="s">
        <v>9</v>
      </c>
      <c r="E24" s="160" t="s">
        <v>93</v>
      </c>
      <c r="F24" s="183" t="s">
        <v>43</v>
      </c>
      <c r="G24" s="177"/>
      <c r="H24" s="184"/>
      <c r="I24" s="190">
        <f t="shared" si="4"/>
        <v>3</v>
      </c>
      <c r="J24" s="191">
        <f t="shared" si="5"/>
        <v>0</v>
      </c>
      <c r="K24" s="181">
        <f t="shared" si="0"/>
        <v>0</v>
      </c>
      <c r="L24" s="38"/>
    </row>
    <row r="25" spans="2:12" ht="30" customHeight="1" x14ac:dyDescent="0.3">
      <c r="B25" s="37" t="str">
        <f t="shared" si="3"/>
        <v>IGen</v>
      </c>
      <c r="C25" s="2">
        <f>IF(ISTEXT(D25),MAX($C$4:$C24)+1,"")</f>
        <v>22</v>
      </c>
      <c r="D25" s="159" t="s">
        <v>9</v>
      </c>
      <c r="E25" s="162" t="s">
        <v>1251</v>
      </c>
      <c r="F25" s="182" t="s">
        <v>43</v>
      </c>
      <c r="G25" s="177"/>
      <c r="H25" s="184"/>
      <c r="I25" s="179">
        <f t="shared" ref="I25:I32" si="6">VLOOKUP($D25,SpecData,2,FALSE)</f>
        <v>3</v>
      </c>
      <c r="J25" s="180">
        <f t="shared" ref="J25:J32" si="7">VLOOKUP($F25,AvailabilityData,2,FALSE)</f>
        <v>0</v>
      </c>
      <c r="K25" s="181">
        <f t="shared" si="0"/>
        <v>0</v>
      </c>
      <c r="L25" s="38"/>
    </row>
    <row r="26" spans="2:12" ht="30" customHeight="1" x14ac:dyDescent="0.3">
      <c r="B26" s="37" t="str">
        <f t="shared" si="3"/>
        <v>IGen</v>
      </c>
      <c r="C26" s="2">
        <f>IF(ISTEXT(D26),MAX($C$4:$C25)+1,"")</f>
        <v>23</v>
      </c>
      <c r="D26" s="159" t="s">
        <v>9</v>
      </c>
      <c r="E26" s="162" t="s">
        <v>1252</v>
      </c>
      <c r="F26" s="182" t="s">
        <v>43</v>
      </c>
      <c r="G26" s="177"/>
      <c r="H26" s="184"/>
      <c r="I26" s="188">
        <f t="shared" si="6"/>
        <v>3</v>
      </c>
      <c r="J26" s="189">
        <f t="shared" si="7"/>
        <v>0</v>
      </c>
      <c r="K26" s="181">
        <f t="shared" si="0"/>
        <v>0</v>
      </c>
      <c r="L26" s="38"/>
    </row>
    <row r="27" spans="2:12" ht="41.4" x14ac:dyDescent="0.3">
      <c r="B27" s="37" t="str">
        <f t="shared" si="3"/>
        <v>IGen</v>
      </c>
      <c r="C27" s="2">
        <f>IF(ISTEXT(D27),MAX($C$4:$C26)+1,"")</f>
        <v>24</v>
      </c>
      <c r="D27" s="159" t="s">
        <v>9</v>
      </c>
      <c r="E27" s="162" t="s">
        <v>94</v>
      </c>
      <c r="F27" s="182" t="s">
        <v>43</v>
      </c>
      <c r="G27" s="177"/>
      <c r="H27" s="184"/>
      <c r="I27" s="190">
        <f t="shared" si="6"/>
        <v>3</v>
      </c>
      <c r="J27" s="191">
        <f t="shared" si="7"/>
        <v>0</v>
      </c>
      <c r="K27" s="181">
        <f t="shared" si="0"/>
        <v>0</v>
      </c>
      <c r="L27" s="38"/>
    </row>
    <row r="28" spans="2:12" ht="30" customHeight="1" x14ac:dyDescent="0.3">
      <c r="B28" s="37" t="str">
        <f t="shared" si="3"/>
        <v>IGen</v>
      </c>
      <c r="C28" s="2">
        <f>IF(ISTEXT(D28),MAX($C$4:$C27)+1,"")</f>
        <v>25</v>
      </c>
      <c r="D28" s="159" t="s">
        <v>41</v>
      </c>
      <c r="E28" s="162" t="s">
        <v>95</v>
      </c>
      <c r="F28" s="182" t="s">
        <v>43</v>
      </c>
      <c r="G28" s="177"/>
      <c r="H28" s="184"/>
      <c r="I28" s="179">
        <f t="shared" si="6"/>
        <v>0</v>
      </c>
      <c r="J28" s="180">
        <f t="shared" si="7"/>
        <v>0</v>
      </c>
      <c r="K28" s="181">
        <f t="shared" si="0"/>
        <v>0</v>
      </c>
      <c r="L28" s="38"/>
    </row>
    <row r="29" spans="2:12" ht="35.25" customHeight="1" x14ac:dyDescent="0.3">
      <c r="B29" s="37" t="str">
        <f t="shared" si="3"/>
        <v>IGen</v>
      </c>
      <c r="C29" s="2">
        <f>IF(ISTEXT(D29),MAX($C$4:$C28)+1,"")</f>
        <v>26</v>
      </c>
      <c r="D29" s="159" t="s">
        <v>10</v>
      </c>
      <c r="E29" s="160" t="s">
        <v>96</v>
      </c>
      <c r="F29" s="182" t="s">
        <v>43</v>
      </c>
      <c r="G29" s="177"/>
      <c r="H29" s="184"/>
      <c r="I29" s="188">
        <f t="shared" si="6"/>
        <v>2</v>
      </c>
      <c r="J29" s="189">
        <f t="shared" si="7"/>
        <v>0</v>
      </c>
      <c r="K29" s="181">
        <f t="shared" si="0"/>
        <v>0</v>
      </c>
      <c r="L29" s="38"/>
    </row>
    <row r="30" spans="2:12" ht="30" customHeight="1" x14ac:dyDescent="0.3">
      <c r="B30" s="37" t="str">
        <f t="shared" si="3"/>
        <v>IGen</v>
      </c>
      <c r="C30" s="2">
        <f>IF(ISTEXT(D30),MAX($C$4:$C29)+1,"")</f>
        <v>27</v>
      </c>
      <c r="D30" s="159" t="s">
        <v>10</v>
      </c>
      <c r="E30" s="162" t="s">
        <v>97</v>
      </c>
      <c r="F30" s="182" t="s">
        <v>43</v>
      </c>
      <c r="G30" s="177"/>
      <c r="H30" s="184"/>
      <c r="I30" s="188">
        <f t="shared" si="6"/>
        <v>2</v>
      </c>
      <c r="J30" s="189">
        <f t="shared" si="7"/>
        <v>0</v>
      </c>
      <c r="K30" s="181">
        <f t="shared" si="0"/>
        <v>0</v>
      </c>
      <c r="L30" s="38"/>
    </row>
    <row r="31" spans="2:12" ht="45" customHeight="1" x14ac:dyDescent="0.3">
      <c r="B31" s="37" t="str">
        <f t="shared" si="3"/>
        <v>IGen</v>
      </c>
      <c r="C31" s="2">
        <f>IF(ISTEXT(D31),MAX($C$4:$C30)+1,"")</f>
        <v>28</v>
      </c>
      <c r="D31" s="159" t="s">
        <v>10</v>
      </c>
      <c r="E31" s="162" t="s">
        <v>98</v>
      </c>
      <c r="F31" s="182" t="s">
        <v>43</v>
      </c>
      <c r="G31" s="177"/>
      <c r="H31" s="184"/>
      <c r="I31" s="188">
        <f t="shared" si="6"/>
        <v>2</v>
      </c>
      <c r="J31" s="189">
        <f t="shared" si="7"/>
        <v>0</v>
      </c>
      <c r="K31" s="181">
        <f t="shared" si="0"/>
        <v>0</v>
      </c>
      <c r="L31" s="38"/>
    </row>
    <row r="32" spans="2:12" ht="41.4" x14ac:dyDescent="0.3">
      <c r="B32" s="37" t="str">
        <f t="shared" si="3"/>
        <v>IGen</v>
      </c>
      <c r="C32" s="2">
        <f>IF(ISTEXT(D32),MAX($C$4:$C31)+1,"")</f>
        <v>29</v>
      </c>
      <c r="D32" s="159" t="s">
        <v>11</v>
      </c>
      <c r="E32" s="160" t="s">
        <v>99</v>
      </c>
      <c r="F32" s="182" t="s">
        <v>43</v>
      </c>
      <c r="G32" s="177"/>
      <c r="H32" s="184"/>
      <c r="I32" s="188">
        <f t="shared" si="6"/>
        <v>1</v>
      </c>
      <c r="J32" s="189">
        <f t="shared" si="7"/>
        <v>0</v>
      </c>
      <c r="K32" s="181">
        <f t="shared" si="0"/>
        <v>0</v>
      </c>
      <c r="L32" s="38"/>
    </row>
    <row r="33" spans="2:12" ht="30" customHeight="1" x14ac:dyDescent="0.3">
      <c r="B33" s="37" t="str">
        <f t="shared" si="3"/>
        <v>IGen</v>
      </c>
      <c r="C33" s="2">
        <f>IF(ISTEXT(D33),MAX($C$4:$C32)+1,"")</f>
        <v>30</v>
      </c>
      <c r="D33" s="159" t="s">
        <v>10</v>
      </c>
      <c r="E33" s="160" t="s">
        <v>1253</v>
      </c>
      <c r="F33" s="182" t="s">
        <v>43</v>
      </c>
      <c r="G33" s="177"/>
      <c r="H33" s="184"/>
      <c r="I33" s="188">
        <f t="shared" ref="I33:I38" si="8">VLOOKUP($D33,SpecData,2,FALSE)</f>
        <v>2</v>
      </c>
      <c r="J33" s="189">
        <f t="shared" ref="J33:J38" si="9">VLOOKUP($F33,AvailabilityData,2,FALSE)</f>
        <v>0</v>
      </c>
      <c r="K33" s="181">
        <f t="shared" si="0"/>
        <v>0</v>
      </c>
      <c r="L33" s="38"/>
    </row>
    <row r="34" spans="2:12" ht="30" customHeight="1" x14ac:dyDescent="0.3">
      <c r="B34" s="37" t="str">
        <f t="shared" si="3"/>
        <v>IGen</v>
      </c>
      <c r="C34" s="2">
        <f>IF(ISTEXT(D34),MAX($C$4:$C33)+1,"")</f>
        <v>31</v>
      </c>
      <c r="D34" s="159" t="s">
        <v>10</v>
      </c>
      <c r="E34" s="160" t="s">
        <v>100</v>
      </c>
      <c r="F34" s="183" t="s">
        <v>43</v>
      </c>
      <c r="G34" s="177"/>
      <c r="H34" s="184"/>
      <c r="I34" s="188">
        <f t="shared" si="8"/>
        <v>2</v>
      </c>
      <c r="J34" s="189">
        <f t="shared" si="9"/>
        <v>0</v>
      </c>
      <c r="K34" s="181">
        <f t="shared" si="0"/>
        <v>0</v>
      </c>
      <c r="L34" s="38"/>
    </row>
    <row r="35" spans="2:12" ht="30" customHeight="1" x14ac:dyDescent="0.3">
      <c r="B35" s="37" t="str">
        <f t="shared" si="3"/>
        <v>IGen</v>
      </c>
      <c r="C35" s="2">
        <f>IF(ISTEXT(D35),MAX($C$4:$C34)+1,"")</f>
        <v>32</v>
      </c>
      <c r="D35" s="159" t="s">
        <v>11</v>
      </c>
      <c r="E35" s="160" t="s">
        <v>101</v>
      </c>
      <c r="F35" s="182" t="s">
        <v>43</v>
      </c>
      <c r="G35" s="177"/>
      <c r="H35" s="184"/>
      <c r="I35" s="188">
        <f t="shared" si="8"/>
        <v>1</v>
      </c>
      <c r="J35" s="189">
        <f t="shared" si="9"/>
        <v>0</v>
      </c>
      <c r="K35" s="181">
        <f t="shared" si="0"/>
        <v>0</v>
      </c>
      <c r="L35" s="38"/>
    </row>
    <row r="36" spans="2:12" ht="30" customHeight="1" x14ac:dyDescent="0.3">
      <c r="B36" s="37" t="str">
        <f t="shared" si="3"/>
        <v>IGen</v>
      </c>
      <c r="C36" s="2">
        <f>IF(ISTEXT(D36),MAX($C$4:$C35)+1,"")</f>
        <v>33</v>
      </c>
      <c r="D36" s="159" t="s">
        <v>11</v>
      </c>
      <c r="E36" s="160" t="s">
        <v>102</v>
      </c>
      <c r="F36" s="182" t="s">
        <v>43</v>
      </c>
      <c r="G36" s="177"/>
      <c r="H36" s="184"/>
      <c r="I36" s="188">
        <f t="shared" si="8"/>
        <v>1</v>
      </c>
      <c r="J36" s="189">
        <f t="shared" si="9"/>
        <v>0</v>
      </c>
      <c r="K36" s="181">
        <f t="shared" si="0"/>
        <v>0</v>
      </c>
      <c r="L36" s="38"/>
    </row>
    <row r="37" spans="2:12" ht="30" customHeight="1" x14ac:dyDescent="0.3">
      <c r="B37" s="37" t="str">
        <f t="shared" si="3"/>
        <v>IGen</v>
      </c>
      <c r="C37" s="2">
        <f>IF(ISTEXT(D37),MAX($C$4:$C36)+1,"")</f>
        <v>34</v>
      </c>
      <c r="D37" s="159" t="s">
        <v>9</v>
      </c>
      <c r="E37" s="160" t="s">
        <v>103</v>
      </c>
      <c r="F37" s="182" t="s">
        <v>43</v>
      </c>
      <c r="G37" s="177"/>
      <c r="H37" s="184"/>
      <c r="I37" s="188">
        <f t="shared" si="8"/>
        <v>3</v>
      </c>
      <c r="J37" s="189">
        <f t="shared" si="9"/>
        <v>0</v>
      </c>
      <c r="K37" s="181">
        <f t="shared" si="0"/>
        <v>0</v>
      </c>
      <c r="L37" s="38"/>
    </row>
    <row r="38" spans="2:12" ht="51.75" customHeight="1" x14ac:dyDescent="0.3">
      <c r="B38" s="37" t="str">
        <f t="shared" si="3"/>
        <v>IGen</v>
      </c>
      <c r="C38" s="2">
        <f>IF(ISTEXT(D38),MAX($C$4:$C37)+1,"")</f>
        <v>35</v>
      </c>
      <c r="D38" s="159" t="s">
        <v>10</v>
      </c>
      <c r="E38" s="160" t="s">
        <v>104</v>
      </c>
      <c r="F38" s="182" t="s">
        <v>43</v>
      </c>
      <c r="G38" s="177"/>
      <c r="H38" s="184"/>
      <c r="I38" s="188">
        <f t="shared" si="8"/>
        <v>2</v>
      </c>
      <c r="J38" s="189">
        <f t="shared" si="9"/>
        <v>0</v>
      </c>
      <c r="K38" s="181">
        <f t="shared" si="0"/>
        <v>0</v>
      </c>
      <c r="L38" s="38"/>
    </row>
    <row r="39" spans="2:12" ht="30" customHeight="1" x14ac:dyDescent="0.3">
      <c r="B39" s="37" t="str">
        <f t="shared" si="3"/>
        <v>IGen</v>
      </c>
      <c r="C39" s="2">
        <f>IF(ISTEXT(D39),MAX($C$4:$C38)+1,"")</f>
        <v>36</v>
      </c>
      <c r="D39" s="159" t="s">
        <v>11</v>
      </c>
      <c r="E39" s="163" t="s">
        <v>105</v>
      </c>
      <c r="F39" s="182" t="s">
        <v>43</v>
      </c>
      <c r="G39" s="177"/>
      <c r="H39" s="184"/>
      <c r="I39" s="188">
        <f t="shared" ref="I39:I42" si="10">VLOOKUP($D39,SpecData,2,FALSE)</f>
        <v>1</v>
      </c>
      <c r="J39" s="189">
        <f t="shared" ref="J39:J42" si="11">VLOOKUP($F39,AvailabilityData,2,FALSE)</f>
        <v>0</v>
      </c>
      <c r="K39" s="181">
        <f t="shared" si="0"/>
        <v>0</v>
      </c>
      <c r="L39" s="38"/>
    </row>
    <row r="40" spans="2:12" ht="43.5" customHeight="1" x14ac:dyDescent="0.3">
      <c r="B40" s="37" t="str">
        <f t="shared" si="3"/>
        <v>IGen</v>
      </c>
      <c r="C40" s="2">
        <f>IF(ISTEXT(D40),MAX($C$4:$C39)+1,"")</f>
        <v>37</v>
      </c>
      <c r="D40" s="159" t="s">
        <v>10</v>
      </c>
      <c r="E40" s="163" t="s">
        <v>106</v>
      </c>
      <c r="F40" s="176" t="s">
        <v>43</v>
      </c>
      <c r="G40" s="177"/>
      <c r="H40" s="184"/>
      <c r="I40" s="188">
        <f t="shared" si="10"/>
        <v>2</v>
      </c>
      <c r="J40" s="189">
        <f t="shared" si="11"/>
        <v>0</v>
      </c>
      <c r="K40" s="181">
        <f t="shared" si="0"/>
        <v>0</v>
      </c>
      <c r="L40" s="38"/>
    </row>
    <row r="41" spans="2:12" ht="30" customHeight="1" x14ac:dyDescent="0.3">
      <c r="B41" s="37" t="str">
        <f t="shared" si="3"/>
        <v>IGen</v>
      </c>
      <c r="C41" s="2">
        <f>IF(ISTEXT(D41),MAX($C$4:$C40)+1,"")</f>
        <v>38</v>
      </c>
      <c r="D41" s="159" t="s">
        <v>11</v>
      </c>
      <c r="E41" s="162" t="s">
        <v>107</v>
      </c>
      <c r="F41" s="182" t="s">
        <v>43</v>
      </c>
      <c r="G41" s="177"/>
      <c r="H41" s="184"/>
      <c r="I41" s="188">
        <f t="shared" si="10"/>
        <v>1</v>
      </c>
      <c r="J41" s="189">
        <f t="shared" si="11"/>
        <v>0</v>
      </c>
      <c r="K41" s="181">
        <f t="shared" si="0"/>
        <v>0</v>
      </c>
      <c r="L41" s="38"/>
    </row>
    <row r="42" spans="2:12" ht="30" customHeight="1" x14ac:dyDescent="0.3">
      <c r="B42" s="164" t="str">
        <f t="shared" si="3"/>
        <v>IGen</v>
      </c>
      <c r="C42" s="165">
        <f>IF(ISTEXT(D42),MAX($C$4:$C41)+1,"")</f>
        <v>39</v>
      </c>
      <c r="D42" s="159" t="s">
        <v>9</v>
      </c>
      <c r="E42" s="160" t="s">
        <v>108</v>
      </c>
      <c r="F42" s="183" t="s">
        <v>43</v>
      </c>
      <c r="G42" s="192"/>
      <c r="H42" s="193"/>
      <c r="I42" s="190">
        <f t="shared" si="10"/>
        <v>3</v>
      </c>
      <c r="J42" s="191">
        <f t="shared" si="11"/>
        <v>0</v>
      </c>
      <c r="K42" s="181">
        <f t="shared" si="0"/>
        <v>0</v>
      </c>
      <c r="L42" s="39"/>
    </row>
    <row r="43" spans="2:12" ht="7.5" customHeight="1" x14ac:dyDescent="0.3"/>
  </sheetData>
  <sheetProtection algorithmName="SHA-512" hashValue="xbzlfOap3nS/Po+imW79hzH//VVuzW8aFPSZG57MbXaPtgMC5d0xaUGHoZsBQvUp4oKgyJqgM2OyqdKOtkQXMA==" saltValue="OH4dMH6dMUasodVsNI7heQ==" spinCount="100000" sheet="1" selectLockedCells="1"/>
  <conditionalFormatting sqref="D4:D42">
    <cfRule type="cellIs" dxfId="344" priority="7" operator="equal">
      <formula>"Important"</formula>
    </cfRule>
    <cfRule type="cellIs" dxfId="343" priority="8" operator="equal">
      <formula>"Crucial"</formula>
    </cfRule>
    <cfRule type="cellIs" dxfId="342" priority="9" operator="equal">
      <formula>"N/A"</formula>
    </cfRule>
  </conditionalFormatting>
  <conditionalFormatting sqref="F4:F42">
    <cfRule type="cellIs" dxfId="341" priority="1" operator="equal">
      <formula>"Function Not Available"</formula>
    </cfRule>
    <cfRule type="cellIs" dxfId="340" priority="2" operator="equal">
      <formula>"Function Available"</formula>
    </cfRule>
    <cfRule type="cellIs" dxfId="339"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42" xr:uid="{00000000-0002-0000-0200-000000000000}">
      <formula1>AvailabilityType</formula1>
    </dataValidation>
    <dataValidation type="list" allowBlank="1" showInputMessage="1" showErrorMessage="1" sqref="D4:D42" xr:uid="{00000000-0002-0000-0200-000001000000}">
      <formula1>SpecType</formula1>
    </dataValidation>
    <dataValidation type="list" allowBlank="1" showInputMessage="1" showErrorMessage="1" sqref="F4:F5" xr:uid="{00000000-0002-0000-02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C00"/>
  </sheetPr>
  <dimension ref="A1:M33"/>
  <sheetViews>
    <sheetView showGridLines="0" zoomScale="90" zoomScaleNormal="9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6" customHeight="1" x14ac:dyDescent="0.3"/>
    <row r="2" spans="2:12" ht="129" customHeight="1" thickBot="1" x14ac:dyDescent="0.35">
      <c r="B2" s="96" t="s">
        <v>44</v>
      </c>
      <c r="C2" s="97" t="s">
        <v>45</v>
      </c>
      <c r="D2" s="97" t="s">
        <v>46</v>
      </c>
      <c r="E2" s="97" t="s">
        <v>943</v>
      </c>
      <c r="F2" s="97" t="s">
        <v>42</v>
      </c>
      <c r="G2" s="98" t="s">
        <v>48</v>
      </c>
      <c r="H2" s="98" t="s">
        <v>49</v>
      </c>
      <c r="I2" s="99" t="s">
        <v>50</v>
      </c>
      <c r="J2" s="99" t="s">
        <v>51</v>
      </c>
      <c r="K2" s="100" t="s">
        <v>14</v>
      </c>
      <c r="L2" s="101" t="s">
        <v>52</v>
      </c>
    </row>
    <row r="3" spans="2:12" ht="16.2" thickBot="1" x14ac:dyDescent="0.35">
      <c r="B3" s="8" t="s">
        <v>944</v>
      </c>
      <c r="C3" s="8"/>
      <c r="D3" s="8"/>
      <c r="E3" s="8"/>
      <c r="F3" s="8"/>
      <c r="G3" s="34" t="s">
        <v>54</v>
      </c>
      <c r="H3" s="7">
        <f>COUNTA(D4:D491)</f>
        <v>27</v>
      </c>
      <c r="I3" s="24"/>
      <c r="J3" s="25" t="s">
        <v>55</v>
      </c>
      <c r="K3" s="26">
        <f>SUM(K4:K491)</f>
        <v>0</v>
      </c>
      <c r="L3" s="8"/>
    </row>
    <row r="4" spans="2:12" ht="30" customHeight="1" x14ac:dyDescent="0.3">
      <c r="B4" s="37" t="s">
        <v>945</v>
      </c>
      <c r="C4" s="2">
        <v>1</v>
      </c>
      <c r="D4" s="159" t="s">
        <v>11</v>
      </c>
      <c r="E4" s="167" t="s">
        <v>946</v>
      </c>
      <c r="F4" s="176" t="s">
        <v>43</v>
      </c>
      <c r="G4" s="177" t="s">
        <v>58</v>
      </c>
      <c r="H4" s="178">
        <f>COUNTIF(F4:F491,"Select from Drop Down")</f>
        <v>27</v>
      </c>
      <c r="I4" s="179">
        <f>VLOOKUP($D4,SpecData,2,FALSE)</f>
        <v>1</v>
      </c>
      <c r="J4" s="180">
        <f>VLOOKUP($F4,AvailabilityData,2,FALSE)</f>
        <v>0</v>
      </c>
      <c r="K4" s="181">
        <f>I4*J4</f>
        <v>0</v>
      </c>
      <c r="L4" s="38"/>
    </row>
    <row r="5" spans="2:12" ht="30" customHeight="1" x14ac:dyDescent="0.3">
      <c r="B5" s="37" t="str">
        <f>IF(C5="","",$B$4)</f>
        <v>IRip</v>
      </c>
      <c r="C5" s="2">
        <f>IF(ISTEXT(D5),MAX($C$4:$C4)+1,"")</f>
        <v>2</v>
      </c>
      <c r="D5" s="159" t="s">
        <v>11</v>
      </c>
      <c r="E5" s="342" t="s">
        <v>947</v>
      </c>
      <c r="F5" s="176" t="s">
        <v>43</v>
      </c>
      <c r="G5" s="177" t="s">
        <v>60</v>
      </c>
      <c r="H5" s="178">
        <f>COUNTIF(F4:F491,"Function Available")</f>
        <v>0</v>
      </c>
      <c r="I5" s="179">
        <f>VLOOKUP($D5,SpecData,2,FALSE)</f>
        <v>1</v>
      </c>
      <c r="J5" s="180">
        <f>VLOOKUP($F5,AvailabilityData,2,FALSE)</f>
        <v>0</v>
      </c>
      <c r="K5" s="181">
        <f t="shared" ref="K5:K32" si="0">I5*J5</f>
        <v>0</v>
      </c>
      <c r="L5" s="38"/>
    </row>
    <row r="6" spans="2:12" ht="30" customHeight="1" x14ac:dyDescent="0.3">
      <c r="B6" s="37" t="str">
        <f>IF(C6="","",$B$4)</f>
        <v>IRip</v>
      </c>
      <c r="C6" s="2">
        <f>IF(ISTEXT(D6),MAX($C$4:$C5)+1,"")</f>
        <v>3</v>
      </c>
      <c r="D6" s="159" t="s">
        <v>11</v>
      </c>
      <c r="E6" s="283" t="s">
        <v>948</v>
      </c>
      <c r="F6" s="176" t="s">
        <v>43</v>
      </c>
      <c r="G6" s="177" t="s">
        <v>62</v>
      </c>
      <c r="H6" s="184">
        <f>COUNTIF(F4:F491,"Function Not Available")</f>
        <v>0</v>
      </c>
      <c r="I6" s="179">
        <f t="shared" ref="I6:I32" si="1">VLOOKUP($D6,SpecData,2,FALSE)</f>
        <v>1</v>
      </c>
      <c r="J6" s="180">
        <f t="shared" ref="J6:J32" si="2">VLOOKUP($F6,AvailabilityData,2,FALSE)</f>
        <v>0</v>
      </c>
      <c r="K6" s="181">
        <f t="shared" si="0"/>
        <v>0</v>
      </c>
      <c r="L6" s="38"/>
    </row>
    <row r="7" spans="2:12" ht="30" customHeight="1" x14ac:dyDescent="0.3">
      <c r="B7" s="40" t="str">
        <f t="shared" ref="B7" si="3">IF(C7="","",$B$4)</f>
        <v/>
      </c>
      <c r="C7" s="1" t="str">
        <f>IF(ISTEXT(D7),MAX($C$6:$C6)+1,"")</f>
        <v/>
      </c>
      <c r="D7" s="3"/>
      <c r="E7" s="59" t="s">
        <v>949</v>
      </c>
      <c r="F7" s="115"/>
      <c r="G7" s="31"/>
      <c r="H7" s="31"/>
      <c r="I7" s="31"/>
      <c r="J7" s="31"/>
      <c r="K7" s="31"/>
      <c r="L7" s="31"/>
    </row>
    <row r="8" spans="2:12" ht="30" customHeight="1" x14ac:dyDescent="0.3">
      <c r="B8" s="37" t="str">
        <f t="shared" ref="B8:B32" si="4">IF(C8="","",$B$4)</f>
        <v>IRip</v>
      </c>
      <c r="C8" s="2">
        <f>IF(ISTEXT(D8),MAX($C$4:$C6)+1,"")</f>
        <v>4</v>
      </c>
      <c r="D8" s="159" t="s">
        <v>11</v>
      </c>
      <c r="E8" s="343" t="s">
        <v>362</v>
      </c>
      <c r="F8" s="176" t="s">
        <v>43</v>
      </c>
      <c r="G8" s="177" t="s">
        <v>64</v>
      </c>
      <c r="H8" s="184">
        <f>COUNTIF(F4:F491,"Exception")</f>
        <v>0</v>
      </c>
      <c r="I8" s="179">
        <f t="shared" si="1"/>
        <v>1</v>
      </c>
      <c r="J8" s="180">
        <f t="shared" si="2"/>
        <v>0</v>
      </c>
      <c r="K8" s="181">
        <f t="shared" si="0"/>
        <v>0</v>
      </c>
      <c r="L8" s="38"/>
    </row>
    <row r="9" spans="2:12" ht="30" customHeight="1" x14ac:dyDescent="0.3">
      <c r="B9" s="37" t="str">
        <f t="shared" si="4"/>
        <v>IRip</v>
      </c>
      <c r="C9" s="2">
        <f>IF(ISTEXT(D9),MAX($C$4:$C8)+1,"")</f>
        <v>5</v>
      </c>
      <c r="D9" s="159" t="s">
        <v>11</v>
      </c>
      <c r="E9" s="344" t="s">
        <v>950</v>
      </c>
      <c r="F9" s="176" t="s">
        <v>43</v>
      </c>
      <c r="G9" s="177" t="s">
        <v>66</v>
      </c>
      <c r="H9" s="185">
        <f>COUNTIFS(D:D,"=Crucial",F:F,"=Select From Drop Down")</f>
        <v>0</v>
      </c>
      <c r="I9" s="179">
        <f t="shared" si="1"/>
        <v>1</v>
      </c>
      <c r="J9" s="180">
        <f t="shared" si="2"/>
        <v>0</v>
      </c>
      <c r="K9" s="181">
        <f t="shared" si="0"/>
        <v>0</v>
      </c>
      <c r="L9" s="38"/>
    </row>
    <row r="10" spans="2:12" ht="30" customHeight="1" x14ac:dyDescent="0.3">
      <c r="B10" s="37" t="str">
        <f t="shared" si="4"/>
        <v>IRip</v>
      </c>
      <c r="C10" s="2">
        <f>IF(ISTEXT(D10),MAX($C$4:$C9)+1,"")</f>
        <v>6</v>
      </c>
      <c r="D10" s="159" t="s">
        <v>11</v>
      </c>
      <c r="E10" s="344" t="s">
        <v>951</v>
      </c>
      <c r="F10" s="176" t="s">
        <v>43</v>
      </c>
      <c r="G10" s="177" t="s">
        <v>68</v>
      </c>
      <c r="H10" s="185">
        <f>COUNTIFS(D:D,"=Crucial",F:F,"=Function Available")</f>
        <v>0</v>
      </c>
      <c r="I10" s="179">
        <f t="shared" si="1"/>
        <v>1</v>
      </c>
      <c r="J10" s="180">
        <f t="shared" si="2"/>
        <v>0</v>
      </c>
      <c r="K10" s="181">
        <f t="shared" si="0"/>
        <v>0</v>
      </c>
      <c r="L10" s="38"/>
    </row>
    <row r="11" spans="2:12" ht="30" customHeight="1" x14ac:dyDescent="0.3">
      <c r="B11" s="37" t="str">
        <f t="shared" si="4"/>
        <v>IRip</v>
      </c>
      <c r="C11" s="2">
        <f>IF(ISTEXT(D11),MAX($C$4:$C10)+1,"")</f>
        <v>7</v>
      </c>
      <c r="D11" s="159" t="s">
        <v>11</v>
      </c>
      <c r="E11" s="344" t="s">
        <v>952</v>
      </c>
      <c r="F11" s="176" t="s">
        <v>43</v>
      </c>
      <c r="G11" s="177" t="s">
        <v>70</v>
      </c>
      <c r="H11" s="185">
        <f>COUNTIFS(D:D,"=Crucial",F:F,"=Function Not Available")</f>
        <v>0</v>
      </c>
      <c r="I11" s="179">
        <f t="shared" si="1"/>
        <v>1</v>
      </c>
      <c r="J11" s="180">
        <f t="shared" si="2"/>
        <v>0</v>
      </c>
      <c r="K11" s="181">
        <f t="shared" si="0"/>
        <v>0</v>
      </c>
      <c r="L11" s="38"/>
    </row>
    <row r="12" spans="2:12" ht="30" customHeight="1" x14ac:dyDescent="0.3">
      <c r="B12" s="37" t="str">
        <f t="shared" si="4"/>
        <v>IRip</v>
      </c>
      <c r="C12" s="2">
        <f>IF(ISTEXT(D12),MAX($C$4:$C11)+1,"")</f>
        <v>8</v>
      </c>
      <c r="D12" s="159" t="s">
        <v>11</v>
      </c>
      <c r="E12" s="344" t="s">
        <v>953</v>
      </c>
      <c r="F12" s="176" t="s">
        <v>43</v>
      </c>
      <c r="G12" s="177" t="s">
        <v>72</v>
      </c>
      <c r="H12" s="185">
        <f>COUNTIFS(D:D,"=Crucial",F:F,"=Exception")</f>
        <v>0</v>
      </c>
      <c r="I12" s="179">
        <f t="shared" si="1"/>
        <v>1</v>
      </c>
      <c r="J12" s="180">
        <f t="shared" si="2"/>
        <v>0</v>
      </c>
      <c r="K12" s="181">
        <f t="shared" si="0"/>
        <v>0</v>
      </c>
      <c r="L12" s="38"/>
    </row>
    <row r="13" spans="2:12" ht="30" customHeight="1" x14ac:dyDescent="0.3">
      <c r="B13" s="37" t="str">
        <f t="shared" si="4"/>
        <v>IRip</v>
      </c>
      <c r="C13" s="2">
        <f>IF(ISTEXT(D13),MAX($C$4:$C12)+1,"")</f>
        <v>9</v>
      </c>
      <c r="D13" s="159" t="s">
        <v>11</v>
      </c>
      <c r="E13" s="344" t="s">
        <v>954</v>
      </c>
      <c r="F13" s="176" t="s">
        <v>43</v>
      </c>
      <c r="G13" s="186" t="s">
        <v>74</v>
      </c>
      <c r="H13" s="187">
        <f>COUNTIFS(D:D,"=Important",F:F,"=Select From Drop Down")</f>
        <v>0</v>
      </c>
      <c r="I13" s="179">
        <f t="shared" si="1"/>
        <v>1</v>
      </c>
      <c r="J13" s="180">
        <f t="shared" si="2"/>
        <v>0</v>
      </c>
      <c r="K13" s="181">
        <f t="shared" si="0"/>
        <v>0</v>
      </c>
      <c r="L13" s="38"/>
    </row>
    <row r="14" spans="2:12" ht="30" customHeight="1" x14ac:dyDescent="0.3">
      <c r="B14" s="37" t="str">
        <f t="shared" si="4"/>
        <v>IRip</v>
      </c>
      <c r="C14" s="2">
        <f>IF(ISTEXT(D14),MAX($C$4:$C13)+1,"")</f>
        <v>10</v>
      </c>
      <c r="D14" s="159" t="s">
        <v>11</v>
      </c>
      <c r="E14" s="345" t="s">
        <v>955</v>
      </c>
      <c r="F14" s="176" t="s">
        <v>43</v>
      </c>
      <c r="G14" s="186" t="s">
        <v>76</v>
      </c>
      <c r="H14" s="187">
        <f>COUNTIFS(D:D,"=Important",F:F,"=Function Available")</f>
        <v>0</v>
      </c>
      <c r="I14" s="179">
        <f t="shared" si="1"/>
        <v>1</v>
      </c>
      <c r="J14" s="180">
        <f t="shared" si="2"/>
        <v>0</v>
      </c>
      <c r="K14" s="181">
        <f t="shared" si="0"/>
        <v>0</v>
      </c>
      <c r="L14" s="38"/>
    </row>
    <row r="15" spans="2:12" ht="30" customHeight="1" x14ac:dyDescent="0.3">
      <c r="B15" s="37" t="str">
        <f t="shared" si="4"/>
        <v>IRip</v>
      </c>
      <c r="C15" s="2">
        <f>IF(ISTEXT(D15),MAX($C$4:$C14)+1,"")</f>
        <v>11</v>
      </c>
      <c r="D15" s="159" t="s">
        <v>11</v>
      </c>
      <c r="E15" s="345" t="s">
        <v>956</v>
      </c>
      <c r="F15" s="176" t="s">
        <v>43</v>
      </c>
      <c r="G15" s="177" t="s">
        <v>78</v>
      </c>
      <c r="H15" s="185">
        <f>COUNTIFS(D:D,"=Important",F:F,"=Function Not Available")</f>
        <v>0</v>
      </c>
      <c r="I15" s="188">
        <f t="shared" si="1"/>
        <v>1</v>
      </c>
      <c r="J15" s="189">
        <f t="shared" si="2"/>
        <v>0</v>
      </c>
      <c r="K15" s="181">
        <f t="shared" si="0"/>
        <v>0</v>
      </c>
      <c r="L15" s="38"/>
    </row>
    <row r="16" spans="2:12" ht="30" customHeight="1" x14ac:dyDescent="0.3">
      <c r="B16" s="37" t="str">
        <f t="shared" si="4"/>
        <v>IRip</v>
      </c>
      <c r="C16" s="2">
        <f>IF(ISTEXT(D16),MAX($C$4:$C15)+1,"")</f>
        <v>12</v>
      </c>
      <c r="D16" s="159" t="s">
        <v>11</v>
      </c>
      <c r="E16" s="345" t="s">
        <v>957</v>
      </c>
      <c r="F16" s="176" t="s">
        <v>43</v>
      </c>
      <c r="G16" s="177" t="s">
        <v>80</v>
      </c>
      <c r="H16" s="185">
        <f>COUNTIFS(D:D,"=Important",F:F,"=Exception")</f>
        <v>0</v>
      </c>
      <c r="I16" s="188">
        <f t="shared" si="1"/>
        <v>1</v>
      </c>
      <c r="J16" s="189">
        <f t="shared" si="2"/>
        <v>0</v>
      </c>
      <c r="K16" s="181">
        <f t="shared" si="0"/>
        <v>0</v>
      </c>
      <c r="L16" s="38"/>
    </row>
    <row r="17" spans="2:12" ht="30" customHeight="1" x14ac:dyDescent="0.3">
      <c r="B17" s="37" t="str">
        <f t="shared" si="4"/>
        <v>IRip</v>
      </c>
      <c r="C17" s="2">
        <f>IF(ISTEXT(D17),MAX($C$4:$C16)+1,"")</f>
        <v>13</v>
      </c>
      <c r="D17" s="159" t="s">
        <v>11</v>
      </c>
      <c r="E17" s="344" t="s">
        <v>958</v>
      </c>
      <c r="F17" s="176" t="s">
        <v>43</v>
      </c>
      <c r="G17" s="177" t="s">
        <v>82</v>
      </c>
      <c r="H17" s="185">
        <f>COUNTIFS(D:D,"=Minimal",F:F,"=Select From Drop Down")</f>
        <v>27</v>
      </c>
      <c r="I17" s="188">
        <f t="shared" si="1"/>
        <v>1</v>
      </c>
      <c r="J17" s="189">
        <f t="shared" si="2"/>
        <v>0</v>
      </c>
      <c r="K17" s="181">
        <f t="shared" si="0"/>
        <v>0</v>
      </c>
      <c r="L17" s="38"/>
    </row>
    <row r="18" spans="2:12" ht="30" customHeight="1" x14ac:dyDescent="0.3">
      <c r="B18" s="37" t="str">
        <f t="shared" si="4"/>
        <v>IRip</v>
      </c>
      <c r="C18" s="2">
        <f>IF(ISTEXT(D18),MAX($C$4:$C17)+1,"")</f>
        <v>14</v>
      </c>
      <c r="D18" s="159" t="s">
        <v>11</v>
      </c>
      <c r="E18" s="344" t="s">
        <v>959</v>
      </c>
      <c r="F18" s="176" t="s">
        <v>43</v>
      </c>
      <c r="G18" s="177" t="s">
        <v>84</v>
      </c>
      <c r="H18" s="185">
        <f>COUNTIFS(D:D,"=Minimal",F:F,"=Function Available")</f>
        <v>0</v>
      </c>
      <c r="I18" s="188">
        <f t="shared" si="1"/>
        <v>1</v>
      </c>
      <c r="J18" s="189">
        <f t="shared" si="2"/>
        <v>0</v>
      </c>
      <c r="K18" s="181">
        <f t="shared" si="0"/>
        <v>0</v>
      </c>
      <c r="L18" s="38"/>
    </row>
    <row r="19" spans="2:12" ht="30" customHeight="1" x14ac:dyDescent="0.3">
      <c r="B19" s="37" t="str">
        <f t="shared" si="4"/>
        <v>IRip</v>
      </c>
      <c r="C19" s="2">
        <f>IF(ISTEXT(D19),MAX($C$4:$C18)+1,"")</f>
        <v>15</v>
      </c>
      <c r="D19" s="159" t="s">
        <v>11</v>
      </c>
      <c r="E19" s="344" t="s">
        <v>960</v>
      </c>
      <c r="F19" s="176" t="s">
        <v>43</v>
      </c>
      <c r="G19" s="177" t="s">
        <v>86</v>
      </c>
      <c r="H19" s="185">
        <f>COUNTIFS(D:D,"=Minimal",F:F,"=Function Not Available")</f>
        <v>0</v>
      </c>
      <c r="I19" s="188">
        <f t="shared" si="1"/>
        <v>1</v>
      </c>
      <c r="J19" s="189">
        <f t="shared" si="2"/>
        <v>0</v>
      </c>
      <c r="K19" s="181">
        <f t="shared" si="0"/>
        <v>0</v>
      </c>
      <c r="L19" s="38"/>
    </row>
    <row r="20" spans="2:12" ht="30" customHeight="1" x14ac:dyDescent="0.3">
      <c r="B20" s="37" t="str">
        <f t="shared" si="4"/>
        <v>IRip</v>
      </c>
      <c r="C20" s="2">
        <f>IF(ISTEXT(D20),MAX($C$4:$C19)+1,"")</f>
        <v>16</v>
      </c>
      <c r="D20" s="159" t="s">
        <v>11</v>
      </c>
      <c r="E20" s="285" t="s">
        <v>961</v>
      </c>
      <c r="F20" s="176" t="s">
        <v>43</v>
      </c>
      <c r="G20" s="177" t="s">
        <v>88</v>
      </c>
      <c r="H20" s="185">
        <f>COUNTIFS(D:D,"=Minimal",F:F,"=Exception")</f>
        <v>0</v>
      </c>
      <c r="I20" s="188">
        <f t="shared" si="1"/>
        <v>1</v>
      </c>
      <c r="J20" s="189">
        <f t="shared" si="2"/>
        <v>0</v>
      </c>
      <c r="K20" s="181">
        <f t="shared" si="0"/>
        <v>0</v>
      </c>
      <c r="L20" s="38"/>
    </row>
    <row r="21" spans="2:12" ht="30" customHeight="1" x14ac:dyDescent="0.3">
      <c r="B21" s="37" t="str">
        <f t="shared" si="4"/>
        <v>IRip</v>
      </c>
      <c r="C21" s="2">
        <f>IF(ISTEXT(D21),MAX($C$4:$C20)+1,"")</f>
        <v>17</v>
      </c>
      <c r="D21" s="159" t="s">
        <v>11</v>
      </c>
      <c r="E21" s="293" t="s">
        <v>962</v>
      </c>
      <c r="F21" s="176" t="s">
        <v>43</v>
      </c>
      <c r="G21" s="177"/>
      <c r="H21" s="184"/>
      <c r="I21" s="188">
        <f t="shared" si="1"/>
        <v>1</v>
      </c>
      <c r="J21" s="189">
        <f t="shared" si="2"/>
        <v>0</v>
      </c>
      <c r="K21" s="181">
        <f t="shared" si="0"/>
        <v>0</v>
      </c>
      <c r="L21" s="38"/>
    </row>
    <row r="22" spans="2:12" ht="30" customHeight="1" x14ac:dyDescent="0.3">
      <c r="B22" s="37" t="str">
        <f t="shared" si="4"/>
        <v>IRip</v>
      </c>
      <c r="C22" s="2">
        <f>IF(ISTEXT(D22),MAX($C$4:$C21)+1,"")</f>
        <v>18</v>
      </c>
      <c r="D22" s="159" t="s">
        <v>11</v>
      </c>
      <c r="E22" s="293" t="s">
        <v>963</v>
      </c>
      <c r="F22" s="176" t="s">
        <v>43</v>
      </c>
      <c r="G22" s="177"/>
      <c r="H22" s="184"/>
      <c r="I22" s="188">
        <f t="shared" si="1"/>
        <v>1</v>
      </c>
      <c r="J22" s="189">
        <f t="shared" si="2"/>
        <v>0</v>
      </c>
      <c r="K22" s="181">
        <f t="shared" si="0"/>
        <v>0</v>
      </c>
      <c r="L22" s="38"/>
    </row>
    <row r="23" spans="2:12" ht="30" customHeight="1" x14ac:dyDescent="0.3">
      <c r="B23" s="37" t="str">
        <f t="shared" si="4"/>
        <v>IRip</v>
      </c>
      <c r="C23" s="2">
        <f>IF(ISTEXT(D23),MAX($C$4:$C22)+1,"")</f>
        <v>19</v>
      </c>
      <c r="D23" s="159" t="s">
        <v>11</v>
      </c>
      <c r="E23" s="293" t="s">
        <v>964</v>
      </c>
      <c r="F23" s="176" t="s">
        <v>43</v>
      </c>
      <c r="G23" s="177"/>
      <c r="H23" s="184"/>
      <c r="I23" s="188">
        <f t="shared" si="1"/>
        <v>1</v>
      </c>
      <c r="J23" s="189">
        <f t="shared" si="2"/>
        <v>0</v>
      </c>
      <c r="K23" s="181">
        <f t="shared" si="0"/>
        <v>0</v>
      </c>
      <c r="L23" s="38"/>
    </row>
    <row r="24" spans="2:12" ht="30" customHeight="1" x14ac:dyDescent="0.3">
      <c r="B24" s="37" t="str">
        <f t="shared" si="4"/>
        <v>IRip</v>
      </c>
      <c r="C24" s="2">
        <f>IF(ISTEXT(D24),MAX($C$4:$C23)+1,"")</f>
        <v>20</v>
      </c>
      <c r="D24" s="159" t="s">
        <v>11</v>
      </c>
      <c r="E24" s="293" t="s">
        <v>965</v>
      </c>
      <c r="F24" s="176" t="s">
        <v>43</v>
      </c>
      <c r="G24" s="177"/>
      <c r="H24" s="184"/>
      <c r="I24" s="188">
        <f t="shared" si="1"/>
        <v>1</v>
      </c>
      <c r="J24" s="189">
        <f t="shared" si="2"/>
        <v>0</v>
      </c>
      <c r="K24" s="181">
        <f t="shared" si="0"/>
        <v>0</v>
      </c>
      <c r="L24" s="38"/>
    </row>
    <row r="25" spans="2:12" ht="30" customHeight="1" x14ac:dyDescent="0.3">
      <c r="B25" s="37" t="str">
        <f t="shared" si="4"/>
        <v>IRip</v>
      </c>
      <c r="C25" s="2">
        <f>IF(ISTEXT(D25),MAX($C$4:$C24)+1,"")</f>
        <v>21</v>
      </c>
      <c r="D25" s="159" t="s">
        <v>11</v>
      </c>
      <c r="E25" s="293" t="s">
        <v>966</v>
      </c>
      <c r="F25" s="176" t="s">
        <v>43</v>
      </c>
      <c r="G25" s="192"/>
      <c r="H25" s="193"/>
      <c r="I25" s="190">
        <f t="shared" si="1"/>
        <v>1</v>
      </c>
      <c r="J25" s="191">
        <f t="shared" si="2"/>
        <v>0</v>
      </c>
      <c r="K25" s="181">
        <f t="shared" si="0"/>
        <v>0</v>
      </c>
      <c r="L25" s="38"/>
    </row>
    <row r="26" spans="2:12" ht="30" customHeight="1" x14ac:dyDescent="0.3">
      <c r="B26" s="37" t="str">
        <f t="shared" si="4"/>
        <v>IRip</v>
      </c>
      <c r="C26" s="2">
        <f>IF(ISTEXT(D26),MAX($C$4:$C25)+1,"")</f>
        <v>22</v>
      </c>
      <c r="D26" s="159" t="s">
        <v>11</v>
      </c>
      <c r="E26" s="346" t="s">
        <v>967</v>
      </c>
      <c r="F26" s="176" t="s">
        <v>43</v>
      </c>
      <c r="G26" s="186"/>
      <c r="H26" s="234"/>
      <c r="I26" s="179">
        <f t="shared" si="1"/>
        <v>1</v>
      </c>
      <c r="J26" s="180">
        <f t="shared" si="2"/>
        <v>0</v>
      </c>
      <c r="K26" s="181">
        <f t="shared" si="0"/>
        <v>0</v>
      </c>
      <c r="L26" s="38"/>
    </row>
    <row r="27" spans="2:12" ht="30" customHeight="1" x14ac:dyDescent="0.3">
      <c r="B27" s="40" t="str">
        <f t="shared" si="4"/>
        <v/>
      </c>
      <c r="C27" s="1" t="str">
        <f>IF(ISTEXT(D27),MAX($C$6:$C26)+1,"")</f>
        <v/>
      </c>
      <c r="D27" s="3"/>
      <c r="E27" s="347" t="s">
        <v>968</v>
      </c>
      <c r="F27" s="115"/>
      <c r="G27" s="31"/>
      <c r="H27" s="31"/>
      <c r="I27" s="31"/>
      <c r="J27" s="31"/>
      <c r="K27" s="31"/>
      <c r="L27" s="31"/>
    </row>
    <row r="28" spans="2:12" ht="30" customHeight="1" x14ac:dyDescent="0.3">
      <c r="B28" s="37" t="str">
        <f t="shared" si="4"/>
        <v>IRip</v>
      </c>
      <c r="C28" s="2">
        <f>IF(ISTEXT(D28),MAX($C$4:$C26)+1,"")</f>
        <v>23</v>
      </c>
      <c r="D28" s="159" t="s">
        <v>11</v>
      </c>
      <c r="E28" s="343" t="s">
        <v>969</v>
      </c>
      <c r="F28" s="176" t="s">
        <v>43</v>
      </c>
      <c r="G28" s="177"/>
      <c r="H28" s="184"/>
      <c r="I28" s="188">
        <f t="shared" si="1"/>
        <v>1</v>
      </c>
      <c r="J28" s="189">
        <f t="shared" si="2"/>
        <v>0</v>
      </c>
      <c r="K28" s="181">
        <f t="shared" si="0"/>
        <v>0</v>
      </c>
      <c r="L28" s="38"/>
    </row>
    <row r="29" spans="2:12" ht="30" customHeight="1" x14ac:dyDescent="0.3">
      <c r="B29" s="37" t="str">
        <f t="shared" si="4"/>
        <v>IRip</v>
      </c>
      <c r="C29" s="2">
        <f>IF(ISTEXT(D29),MAX($C$4:$C28)+1,"")</f>
        <v>24</v>
      </c>
      <c r="D29" s="159" t="s">
        <v>11</v>
      </c>
      <c r="E29" s="345" t="s">
        <v>970</v>
      </c>
      <c r="F29" s="176" t="s">
        <v>43</v>
      </c>
      <c r="G29" s="192"/>
      <c r="H29" s="193"/>
      <c r="I29" s="190">
        <f t="shared" si="1"/>
        <v>1</v>
      </c>
      <c r="J29" s="191">
        <f t="shared" si="2"/>
        <v>0</v>
      </c>
      <c r="K29" s="181">
        <f t="shared" si="0"/>
        <v>0</v>
      </c>
      <c r="L29" s="38"/>
    </row>
    <row r="30" spans="2:12" ht="30" customHeight="1" x14ac:dyDescent="0.3">
      <c r="B30" s="37" t="str">
        <f t="shared" si="4"/>
        <v>IRip</v>
      </c>
      <c r="C30" s="2">
        <f>IF(ISTEXT(D30),MAX($C$4:$C29)+1,"")</f>
        <v>25</v>
      </c>
      <c r="D30" s="159" t="s">
        <v>11</v>
      </c>
      <c r="E30" s="345" t="s">
        <v>971</v>
      </c>
      <c r="F30" s="176" t="s">
        <v>43</v>
      </c>
      <c r="G30" s="186"/>
      <c r="H30" s="234"/>
      <c r="I30" s="179">
        <f t="shared" si="1"/>
        <v>1</v>
      </c>
      <c r="J30" s="180">
        <f t="shared" si="2"/>
        <v>0</v>
      </c>
      <c r="K30" s="181">
        <f t="shared" si="0"/>
        <v>0</v>
      </c>
      <c r="L30" s="38"/>
    </row>
    <row r="31" spans="2:12" ht="30" customHeight="1" x14ac:dyDescent="0.3">
      <c r="B31" s="37" t="str">
        <f t="shared" si="4"/>
        <v>IRip</v>
      </c>
      <c r="C31" s="2">
        <f>IF(ISTEXT(D31),MAX($C$4:$C30)+1,"")</f>
        <v>26</v>
      </c>
      <c r="D31" s="159" t="s">
        <v>11</v>
      </c>
      <c r="E31" s="345" t="s">
        <v>972</v>
      </c>
      <c r="F31" s="176" t="s">
        <v>43</v>
      </c>
      <c r="G31" s="177"/>
      <c r="H31" s="184"/>
      <c r="I31" s="188">
        <f t="shared" si="1"/>
        <v>1</v>
      </c>
      <c r="J31" s="189">
        <f t="shared" si="2"/>
        <v>0</v>
      </c>
      <c r="K31" s="181">
        <f t="shared" si="0"/>
        <v>0</v>
      </c>
      <c r="L31" s="38"/>
    </row>
    <row r="32" spans="2:12" ht="30" customHeight="1" x14ac:dyDescent="0.3">
      <c r="B32" s="37" t="str">
        <f t="shared" si="4"/>
        <v>IRip</v>
      </c>
      <c r="C32" s="2">
        <f>IF(ISTEXT(D32),MAX($C$4:$C31)+1,"")</f>
        <v>27</v>
      </c>
      <c r="D32" s="159" t="s">
        <v>11</v>
      </c>
      <c r="E32" s="345" t="s">
        <v>973</v>
      </c>
      <c r="F32" s="176" t="s">
        <v>43</v>
      </c>
      <c r="G32" s="177"/>
      <c r="H32" s="184"/>
      <c r="I32" s="188">
        <f t="shared" si="1"/>
        <v>1</v>
      </c>
      <c r="J32" s="189">
        <f t="shared" si="2"/>
        <v>0</v>
      </c>
      <c r="K32" s="181">
        <f t="shared" si="0"/>
        <v>0</v>
      </c>
      <c r="L32" s="38"/>
    </row>
    <row r="33" ht="8.6999999999999993" customHeight="1" x14ac:dyDescent="0.3"/>
  </sheetData>
  <sheetProtection algorithmName="SHA-512" hashValue="vcS56ih+nC/TWe09iqyz6NccKq0NDPg25si7c4UntEV1JAlizbdEt+dG4Pal68PJMaX3nanl3ik+aidsrwdkrA==" saltValue="m2LAnFaFYs5Cf41MwGcf1w==" spinCount="100000" sheet="1" selectLockedCells="1"/>
  <conditionalFormatting sqref="D4:D6 D8:D26 D28:D32">
    <cfRule type="cellIs" dxfId="68" priority="16" operator="equal">
      <formula>"Important"</formula>
    </cfRule>
    <cfRule type="cellIs" dxfId="67" priority="17" operator="equal">
      <formula>"Crucial"</formula>
    </cfRule>
    <cfRule type="cellIs" dxfId="66" priority="18" operator="equal">
      <formula>"N/A"</formula>
    </cfRule>
  </conditionalFormatting>
  <conditionalFormatting sqref="F4:F32">
    <cfRule type="cellIs" dxfId="65" priority="1" operator="equal">
      <formula>"Function Not Available"</formula>
    </cfRule>
    <cfRule type="cellIs" dxfId="64" priority="2" operator="equal">
      <formula>"Function Available"</formula>
    </cfRule>
    <cfRule type="cellIs" dxfId="63" priority="3" operator="equal">
      <formula>"Exception"</formula>
    </cfRule>
  </conditionalFormatting>
  <dataValidations count="3">
    <dataValidation type="list" allowBlank="1" showInputMessage="1" showErrorMessage="1" errorTitle="Invalid specification type" error="Please enter a Specification type from the drop-down list." sqref="F6 F8:F26 F28:F32" xr:uid="{00000000-0002-0000-1D00-000000000000}">
      <formula1>AvailabilityType</formula1>
    </dataValidation>
    <dataValidation type="list" allowBlank="1" showInputMessage="1" showErrorMessage="1" sqref="D4:D6 D8:D26 D28:D32" xr:uid="{00000000-0002-0000-1D00-000001000000}">
      <formula1>SpecType</formula1>
    </dataValidation>
    <dataValidation type="list" allowBlank="1" showInputMessage="1" showErrorMessage="1" sqref="F4:F5" xr:uid="{00000000-0002-0000-1D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pageSetUpPr fitToPage="1"/>
  </sheetPr>
  <dimension ref="A1:M20"/>
  <sheetViews>
    <sheetView showGridLines="0" zoomScale="80" zoomScaleNormal="80" workbookViewId="0">
      <selection activeCell="D4" sqref="D4"/>
    </sheetView>
  </sheetViews>
  <sheetFormatPr defaultColWidth="0" defaultRowHeight="14.4" zeroHeight="1" x14ac:dyDescent="0.3"/>
  <cols>
    <col min="1" max="1" width="1.33203125" customWidth="1"/>
    <col min="2" max="2" width="11.6640625" customWidth="1"/>
    <col min="3" max="3" width="11.44140625" customWidth="1"/>
    <col min="4" max="4" width="23.33203125" style="145" customWidth="1"/>
    <col min="5" max="5" width="65.6640625" style="74" customWidth="1"/>
    <col min="6" max="6" width="28.6640625" customWidth="1"/>
    <col min="7" max="7" width="15.44140625" style="35" hidden="1" customWidth="1"/>
    <col min="8" max="11" width="12.6640625" hidden="1" customWidth="1"/>
    <col min="12" max="12" width="49.44140625" style="145" customWidth="1"/>
    <col min="13" max="13" width="8.6640625" customWidth="1"/>
    <col min="14" max="16384" width="8.6640625" hidden="1"/>
  </cols>
  <sheetData>
    <row r="1" spans="2:12" ht="3.6" customHeight="1" thickBot="1" x14ac:dyDescent="0.35"/>
    <row r="2" spans="2:12" ht="129" customHeight="1" thickBot="1" x14ac:dyDescent="0.35">
      <c r="B2" s="102" t="s">
        <v>44</v>
      </c>
      <c r="C2" s="102" t="s">
        <v>45</v>
      </c>
      <c r="D2" s="102" t="s">
        <v>46</v>
      </c>
      <c r="E2" s="102" t="s">
        <v>974</v>
      </c>
      <c r="F2" s="102" t="s">
        <v>42</v>
      </c>
      <c r="G2" s="103" t="s">
        <v>48</v>
      </c>
      <c r="H2" s="103" t="s">
        <v>49</v>
      </c>
      <c r="I2" s="104" t="s">
        <v>50</v>
      </c>
      <c r="J2" s="104" t="s">
        <v>51</v>
      </c>
      <c r="K2" s="105" t="s">
        <v>14</v>
      </c>
      <c r="L2" s="106" t="s">
        <v>52</v>
      </c>
    </row>
    <row r="3" spans="2:12" ht="16.2" thickBot="1" x14ac:dyDescent="0.35">
      <c r="B3" s="45" t="s">
        <v>975</v>
      </c>
      <c r="C3" s="8"/>
      <c r="D3" s="8"/>
      <c r="E3" s="8"/>
      <c r="F3" s="8"/>
      <c r="G3" s="34" t="s">
        <v>54</v>
      </c>
      <c r="H3" s="7">
        <f>COUNTA(D4:D478)</f>
        <v>1</v>
      </c>
      <c r="I3" s="24"/>
      <c r="J3" s="25" t="s">
        <v>55</v>
      </c>
      <c r="K3" s="26">
        <f>SUM(K4:K478)</f>
        <v>0</v>
      </c>
      <c r="L3" s="46"/>
    </row>
    <row r="4" spans="2:12" ht="42" thickBot="1" x14ac:dyDescent="0.35">
      <c r="B4" s="52" t="s">
        <v>976</v>
      </c>
      <c r="C4" s="53">
        <v>1</v>
      </c>
      <c r="D4" s="147" t="s">
        <v>11</v>
      </c>
      <c r="E4" s="78" t="s">
        <v>977</v>
      </c>
      <c r="F4" s="117" t="s">
        <v>43</v>
      </c>
      <c r="G4" s="129" t="s">
        <v>58</v>
      </c>
      <c r="H4" s="130">
        <f>COUNTIF(F4:F478,"Select from Drop Down")</f>
        <v>1</v>
      </c>
      <c r="I4" s="118">
        <f>VLOOKUP($D4,SpecData,2,FALSE)</f>
        <v>1</v>
      </c>
      <c r="J4" s="119">
        <f>VLOOKUP($F4,AvailabilityData,2,FALSE)</f>
        <v>0</v>
      </c>
      <c r="K4" s="120">
        <f>I4*J4</f>
        <v>0</v>
      </c>
      <c r="L4" s="54"/>
    </row>
    <row r="5" spans="2:12" ht="30" hidden="1" customHeight="1" x14ac:dyDescent="0.3">
      <c r="B5" s="61"/>
      <c r="C5" s="61"/>
      <c r="D5" s="148"/>
      <c r="E5" s="77"/>
      <c r="F5" s="121"/>
      <c r="G5" s="34" t="s">
        <v>60</v>
      </c>
      <c r="H5" s="7">
        <f>COUNTIF(F4:F478,"Function Available")</f>
        <v>0</v>
      </c>
      <c r="I5" s="123"/>
      <c r="J5" s="124"/>
      <c r="K5" s="123"/>
      <c r="L5" s="44"/>
    </row>
    <row r="6" spans="2:12" ht="30" hidden="1" customHeight="1" x14ac:dyDescent="0.3">
      <c r="B6" s="73"/>
      <c r="C6" s="73"/>
      <c r="D6" s="149"/>
      <c r="E6" s="62"/>
      <c r="F6" s="125"/>
      <c r="G6" s="29" t="s">
        <v>62</v>
      </c>
      <c r="H6" s="110">
        <f>COUNTIF(F4:F478,"Function Not Available")</f>
        <v>0</v>
      </c>
      <c r="I6" s="127"/>
      <c r="J6" s="128"/>
      <c r="K6" s="127"/>
      <c r="L6" s="38"/>
    </row>
    <row r="7" spans="2:12" ht="30" hidden="1" customHeight="1" x14ac:dyDescent="0.3">
      <c r="B7" s="73"/>
      <c r="C7" s="73"/>
      <c r="D7" s="149"/>
      <c r="E7" s="62"/>
      <c r="F7" s="125"/>
      <c r="G7" s="29" t="s">
        <v>64</v>
      </c>
      <c r="H7" s="110">
        <f>COUNTIF(F4:F478,"Exception")</f>
        <v>0</v>
      </c>
      <c r="I7" s="127"/>
      <c r="J7" s="128"/>
      <c r="K7" s="127"/>
      <c r="L7" s="38"/>
    </row>
    <row r="8" spans="2:12" ht="30" hidden="1" customHeight="1" x14ac:dyDescent="0.3">
      <c r="B8" s="73"/>
      <c r="C8" s="73"/>
      <c r="D8" s="149"/>
      <c r="E8" s="62"/>
      <c r="F8" s="125"/>
      <c r="G8" s="29" t="s">
        <v>66</v>
      </c>
      <c r="H8" s="126">
        <f>COUNTIFS(D:D,"=Crucial",F:F,"=Select From Drop Down")</f>
        <v>0</v>
      </c>
      <c r="I8" s="127"/>
      <c r="J8" s="128"/>
      <c r="K8" s="127"/>
      <c r="L8" s="38"/>
    </row>
    <row r="9" spans="2:12" ht="30" hidden="1" customHeight="1" x14ac:dyDescent="0.3">
      <c r="B9" s="73"/>
      <c r="C9" s="73"/>
      <c r="D9" s="149"/>
      <c r="E9" s="62"/>
      <c r="F9" s="125"/>
      <c r="G9" s="29" t="s">
        <v>68</v>
      </c>
      <c r="H9" s="126">
        <f>COUNTIFS(D:D,"=Crucial",F:F,"=Function Available")</f>
        <v>0</v>
      </c>
      <c r="I9" s="127"/>
      <c r="J9" s="128"/>
      <c r="K9" s="127"/>
      <c r="L9" s="38"/>
    </row>
    <row r="10" spans="2:12" ht="30" hidden="1" customHeight="1" x14ac:dyDescent="0.3">
      <c r="B10" s="73"/>
      <c r="C10" s="73"/>
      <c r="D10" s="149"/>
      <c r="E10" s="62"/>
      <c r="F10" s="125"/>
      <c r="G10" s="29" t="s">
        <v>70</v>
      </c>
      <c r="H10" s="126">
        <f>COUNTIFS(D:D,"=Crucial",F:F,"=Function Not Available")</f>
        <v>0</v>
      </c>
      <c r="I10" s="127"/>
      <c r="J10" s="128"/>
      <c r="K10" s="127"/>
      <c r="L10" s="38"/>
    </row>
    <row r="11" spans="2:12" ht="30" hidden="1" customHeight="1" x14ac:dyDescent="0.3">
      <c r="B11" s="73"/>
      <c r="C11" s="73"/>
      <c r="D11" s="149"/>
      <c r="E11" s="72"/>
      <c r="F11" s="125"/>
      <c r="G11" s="29" t="s">
        <v>72</v>
      </c>
      <c r="H11" s="126">
        <f>COUNTIFS(D:D,"=Crucial",F:F,"=Exception")</f>
        <v>0</v>
      </c>
      <c r="I11" s="127"/>
      <c r="J11" s="128"/>
      <c r="K11" s="127"/>
      <c r="L11" s="38"/>
    </row>
    <row r="12" spans="2:12" ht="30" hidden="1" customHeight="1" x14ac:dyDescent="0.3">
      <c r="B12" s="73"/>
      <c r="C12" s="73"/>
      <c r="D12" s="149"/>
      <c r="E12" s="62"/>
      <c r="F12" s="125"/>
      <c r="G12" s="34" t="s">
        <v>74</v>
      </c>
      <c r="H12" s="122">
        <f>COUNTIFS(D:D,"=Important",F:F,"=Select From Drop Down")</f>
        <v>0</v>
      </c>
      <c r="I12" s="127"/>
      <c r="J12" s="128"/>
      <c r="K12" s="127"/>
      <c r="L12" s="38"/>
    </row>
    <row r="13" spans="2:12" ht="30" hidden="1" customHeight="1" x14ac:dyDescent="0.3">
      <c r="B13" s="73"/>
      <c r="C13" s="73"/>
      <c r="D13" s="149"/>
      <c r="E13" s="62"/>
      <c r="F13" s="125"/>
      <c r="G13" s="34" t="s">
        <v>76</v>
      </c>
      <c r="H13" s="122">
        <f>COUNTIFS(D:D,"=Important",F:F,"=Function Available")</f>
        <v>0</v>
      </c>
      <c r="I13" s="127"/>
      <c r="J13" s="128"/>
      <c r="K13" s="127"/>
      <c r="L13" s="38"/>
    </row>
    <row r="14" spans="2:12" ht="30" hidden="1" customHeight="1" x14ac:dyDescent="0.3">
      <c r="B14" s="73"/>
      <c r="C14" s="73"/>
      <c r="D14" s="149"/>
      <c r="E14" s="62"/>
      <c r="F14" s="125"/>
      <c r="G14" s="29" t="s">
        <v>78</v>
      </c>
      <c r="H14" s="126">
        <f>COUNTIFS(D:D,"=Important",F:F,"=Function Not Available")</f>
        <v>0</v>
      </c>
      <c r="I14" s="127"/>
      <c r="J14" s="128"/>
      <c r="K14" s="127"/>
      <c r="L14" s="38"/>
    </row>
    <row r="15" spans="2:12" ht="30" hidden="1" customHeight="1" x14ac:dyDescent="0.3">
      <c r="B15" s="73"/>
      <c r="C15" s="73"/>
      <c r="D15" s="149"/>
      <c r="E15" s="62"/>
      <c r="F15" s="125"/>
      <c r="G15" s="29" t="s">
        <v>80</v>
      </c>
      <c r="H15" s="126">
        <f>COUNTIFS(D:D,"=Important",F:F,"=Exception")</f>
        <v>0</v>
      </c>
      <c r="I15" s="127"/>
      <c r="J15" s="128"/>
      <c r="K15" s="127"/>
      <c r="L15" s="38"/>
    </row>
    <row r="16" spans="2:12" ht="30" hidden="1" customHeight="1" x14ac:dyDescent="0.3">
      <c r="B16" s="73"/>
      <c r="C16" s="73"/>
      <c r="D16" s="149"/>
      <c r="E16" s="62"/>
      <c r="F16" s="125"/>
      <c r="G16" s="29" t="s">
        <v>82</v>
      </c>
      <c r="H16" s="126">
        <f>COUNTIFS(D:D,"=Minimal",F:F,"=Select From Drop Down")</f>
        <v>1</v>
      </c>
      <c r="I16" s="127"/>
      <c r="J16" s="128"/>
      <c r="K16" s="127"/>
      <c r="L16" s="38"/>
    </row>
    <row r="17" spans="2:12" ht="30" hidden="1" customHeight="1" x14ac:dyDescent="0.3">
      <c r="B17" s="73"/>
      <c r="C17" s="73"/>
      <c r="D17" s="149"/>
      <c r="E17" s="62"/>
      <c r="F17" s="125"/>
      <c r="G17" s="29" t="s">
        <v>84</v>
      </c>
      <c r="H17" s="126">
        <f>COUNTIFS(D:D,"=Minimal",F:F,"=Function Available")</f>
        <v>0</v>
      </c>
      <c r="I17" s="127"/>
      <c r="J17" s="128"/>
      <c r="K17" s="127"/>
      <c r="L17" s="38"/>
    </row>
    <row r="18" spans="2:12" ht="30" hidden="1" customHeight="1" x14ac:dyDescent="0.3">
      <c r="B18" s="73"/>
      <c r="C18" s="73"/>
      <c r="D18" s="149"/>
      <c r="E18" s="62"/>
      <c r="F18" s="125"/>
      <c r="G18" s="29" t="s">
        <v>86</v>
      </c>
      <c r="H18" s="126">
        <f>COUNTIFS(D:D,"=Minimal",F:F,"=Function Not Available")</f>
        <v>0</v>
      </c>
      <c r="I18" s="127"/>
      <c r="J18" s="128"/>
      <c r="K18" s="127"/>
      <c r="L18" s="38"/>
    </row>
    <row r="19" spans="2:12" ht="30" hidden="1" customHeight="1" x14ac:dyDescent="0.3">
      <c r="B19" s="73"/>
      <c r="C19" s="73"/>
      <c r="D19" s="149"/>
      <c r="E19" s="62"/>
      <c r="F19" s="125"/>
      <c r="G19" s="29" t="s">
        <v>88</v>
      </c>
      <c r="H19" s="126">
        <f>COUNTIFS(D:D,"=Minimal",F:F,"=Exception")</f>
        <v>0</v>
      </c>
      <c r="I19" s="127"/>
      <c r="J19" s="128"/>
      <c r="K19" s="127"/>
      <c r="L19" s="38"/>
    </row>
    <row r="20" spans="2:12" ht="15" customHeight="1" x14ac:dyDescent="0.3"/>
  </sheetData>
  <sheetProtection selectLockedCells="1"/>
  <conditionalFormatting sqref="D4:D19">
    <cfRule type="cellIs" dxfId="62" priority="10" operator="equal">
      <formula>"Important"</formula>
    </cfRule>
    <cfRule type="cellIs" dxfId="61" priority="11" operator="equal">
      <formula>"Crucial"</formula>
    </cfRule>
    <cfRule type="cellIs" dxfId="60" priority="12" operator="equal">
      <formula>"N/A"</formula>
    </cfRule>
  </conditionalFormatting>
  <conditionalFormatting sqref="F4:F19">
    <cfRule type="cellIs" dxfId="59" priority="1" operator="equal">
      <formula>"Function Not Available"</formula>
    </cfRule>
    <cfRule type="cellIs" dxfId="58" priority="2" operator="equal">
      <formula>"Function Available"</formula>
    </cfRule>
    <cfRule type="cellIs" dxfId="57" priority="3" operator="equal">
      <formula>"Exception"</formula>
    </cfRule>
  </conditionalFormatting>
  <dataValidations count="2">
    <dataValidation type="list" allowBlank="1" showInputMessage="1" showErrorMessage="1" sqref="D4" xr:uid="{00000000-0002-0000-1E00-000000000000}">
      <formula1>SpecType</formula1>
    </dataValidation>
    <dataValidation type="list" allowBlank="1" showInputMessage="1" showErrorMessage="1" sqref="F4" xr:uid="{00000000-0002-0000-1E00-000001000000}">
      <formula1>AvailabilityType</formula1>
    </dataValidation>
  </dataValidations>
  <pageMargins left="0.7" right="0.7" top="0.75" bottom="0.75" header="0.3" footer="0.3"/>
  <pageSetup scale="47" fitToHeight="0" orientation="portrait" r:id="rId1"/>
  <headerFooter>
    <oddHeader>&amp;CPaducah, Kentucky
&amp;F&amp;R&amp;A</oddHeader>
    <oddFooter>&amp;LTSSI Consulting LLC, October 2016&amp;CPage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C00"/>
  </sheetPr>
  <dimension ref="A1:M160"/>
  <sheetViews>
    <sheetView showGridLines="0" zoomScale="80" zoomScaleNormal="80" workbookViewId="0">
      <selection activeCell="F4" sqref="F4"/>
    </sheetView>
  </sheetViews>
  <sheetFormatPr defaultColWidth="0" defaultRowHeight="14.4" zeroHeight="1" x14ac:dyDescent="0.3"/>
  <cols>
    <col min="1" max="1" width="1.44140625" customWidth="1"/>
    <col min="2" max="2" width="11.6640625" customWidth="1"/>
    <col min="3" max="3" width="11.44140625" customWidth="1"/>
    <col min="4" max="4" width="23.33203125" customWidth="1"/>
    <col min="5" max="5" width="70.332031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3" customHeight="1" x14ac:dyDescent="0.3"/>
    <row r="2" spans="2:12" ht="129" customHeight="1" thickBot="1" x14ac:dyDescent="0.35">
      <c r="B2" s="96" t="s">
        <v>44</v>
      </c>
      <c r="C2" s="97" t="s">
        <v>45</v>
      </c>
      <c r="D2" s="97" t="s">
        <v>46</v>
      </c>
      <c r="E2" s="97" t="s">
        <v>978</v>
      </c>
      <c r="F2" s="97" t="s">
        <v>42</v>
      </c>
      <c r="G2" s="98" t="s">
        <v>48</v>
      </c>
      <c r="H2" s="98" t="s">
        <v>49</v>
      </c>
      <c r="I2" s="99" t="s">
        <v>50</v>
      </c>
      <c r="J2" s="99" t="s">
        <v>51</v>
      </c>
      <c r="K2" s="100" t="s">
        <v>14</v>
      </c>
      <c r="L2" s="101" t="s">
        <v>52</v>
      </c>
    </row>
    <row r="3" spans="2:12" ht="16.2" thickBot="1" x14ac:dyDescent="0.35">
      <c r="B3" s="8" t="s">
        <v>979</v>
      </c>
      <c r="C3" s="8"/>
      <c r="D3" s="8"/>
      <c r="E3" s="8"/>
      <c r="F3" s="8"/>
      <c r="G3" s="34" t="s">
        <v>54</v>
      </c>
      <c r="H3" s="7">
        <f>COUNTA(D4:D617)</f>
        <v>147</v>
      </c>
      <c r="I3" s="24"/>
      <c r="J3" s="25" t="s">
        <v>55</v>
      </c>
      <c r="K3" s="26">
        <f>SUM(K4:K617)</f>
        <v>0</v>
      </c>
      <c r="L3" s="8"/>
    </row>
    <row r="4" spans="2:12" ht="30" customHeight="1" x14ac:dyDescent="0.3">
      <c r="B4" s="37" t="s">
        <v>980</v>
      </c>
      <c r="C4" s="2">
        <v>1</v>
      </c>
      <c r="D4" s="159" t="s">
        <v>11</v>
      </c>
      <c r="E4" s="60" t="s">
        <v>981</v>
      </c>
      <c r="F4" s="176" t="s">
        <v>43</v>
      </c>
      <c r="G4" s="177" t="s">
        <v>58</v>
      </c>
      <c r="H4" s="178">
        <f>COUNTIF(F4:F617,"Select from Drop Down")</f>
        <v>147</v>
      </c>
      <c r="I4" s="179">
        <f>VLOOKUP($D4,SpecData,2,FALSE)</f>
        <v>1</v>
      </c>
      <c r="J4" s="180">
        <f>VLOOKUP($F4,AvailabilityData,2,FALSE)</f>
        <v>0</v>
      </c>
      <c r="K4" s="181">
        <f>I4*J4</f>
        <v>0</v>
      </c>
      <c r="L4" s="38"/>
    </row>
    <row r="5" spans="2:12" ht="30" customHeight="1" x14ac:dyDescent="0.3">
      <c r="B5" s="37" t="str">
        <f>IF(C5="","",$B$4)</f>
        <v>IStaff</v>
      </c>
      <c r="C5" s="2">
        <f>IF(ISTEXT(D5),MAX($C$4:$C4)+1,"")</f>
        <v>2</v>
      </c>
      <c r="D5" s="159" t="s">
        <v>11</v>
      </c>
      <c r="E5" s="63" t="s">
        <v>982</v>
      </c>
      <c r="F5" s="176" t="s">
        <v>43</v>
      </c>
      <c r="G5" s="177" t="s">
        <v>60</v>
      </c>
      <c r="H5" s="178">
        <f>COUNTIF(F4:F617,"Function Available")</f>
        <v>0</v>
      </c>
      <c r="I5" s="179">
        <f>VLOOKUP($D5,SpecData,2,FALSE)</f>
        <v>1</v>
      </c>
      <c r="J5" s="180">
        <f>VLOOKUP($F5,AvailabilityData,2,FALSE)</f>
        <v>0</v>
      </c>
      <c r="K5" s="181">
        <f t="shared" ref="K5:K68" si="0">I5*J5</f>
        <v>0</v>
      </c>
      <c r="L5" s="38"/>
    </row>
    <row r="6" spans="2:12" ht="30" customHeight="1" x14ac:dyDescent="0.3">
      <c r="B6" s="37" t="str">
        <f>IF(C6="","",$B$4)</f>
        <v>IStaff</v>
      </c>
      <c r="C6" s="2">
        <f>IF(ISTEXT(D6),MAX($C$4:$C5)+1,"")</f>
        <v>3</v>
      </c>
      <c r="D6" s="159" t="s">
        <v>11</v>
      </c>
      <c r="E6" s="55" t="s">
        <v>983</v>
      </c>
      <c r="F6" s="176" t="s">
        <v>43</v>
      </c>
      <c r="G6" s="177" t="s">
        <v>62</v>
      </c>
      <c r="H6" s="184">
        <f>COUNTIF(F4:F617,"Function Not Available")</f>
        <v>0</v>
      </c>
      <c r="I6" s="179">
        <f t="shared" ref="I6:I69" si="1">VLOOKUP($D6,SpecData,2,FALSE)</f>
        <v>1</v>
      </c>
      <c r="J6" s="180">
        <f t="shared" ref="J6:J69" si="2">VLOOKUP($F6,AvailabilityData,2,FALSE)</f>
        <v>0</v>
      </c>
      <c r="K6" s="181">
        <f t="shared" si="0"/>
        <v>0</v>
      </c>
      <c r="L6" s="38"/>
    </row>
    <row r="7" spans="2:12" ht="30" customHeight="1" x14ac:dyDescent="0.3">
      <c r="B7" s="37" t="str">
        <f t="shared" ref="B7:B70" si="3">IF(C7="","",$B$4)</f>
        <v>IStaff</v>
      </c>
      <c r="C7" s="2">
        <f>IF(ISTEXT(D7),MAX($C$4:$C6)+1,"")</f>
        <v>4</v>
      </c>
      <c r="D7" s="159" t="s">
        <v>11</v>
      </c>
      <c r="E7" s="55" t="s">
        <v>984</v>
      </c>
      <c r="F7" s="176" t="s">
        <v>43</v>
      </c>
      <c r="G7" s="177" t="s">
        <v>64</v>
      </c>
      <c r="H7" s="184">
        <f>COUNTIF(F4:F617,"Exception")</f>
        <v>0</v>
      </c>
      <c r="I7" s="179">
        <f t="shared" si="1"/>
        <v>1</v>
      </c>
      <c r="J7" s="180">
        <f t="shared" si="2"/>
        <v>0</v>
      </c>
      <c r="K7" s="181">
        <f t="shared" si="0"/>
        <v>0</v>
      </c>
      <c r="L7" s="38"/>
    </row>
    <row r="8" spans="2:12" ht="30" customHeight="1" x14ac:dyDescent="0.3">
      <c r="B8" s="37" t="str">
        <f t="shared" si="3"/>
        <v>IStaff</v>
      </c>
      <c r="C8" s="2">
        <f>IF(ISTEXT(D8),MAX($C$4:$C7)+1,"")</f>
        <v>5</v>
      </c>
      <c r="D8" s="159" t="s">
        <v>11</v>
      </c>
      <c r="E8" s="55" t="s">
        <v>985</v>
      </c>
      <c r="F8" s="176" t="s">
        <v>43</v>
      </c>
      <c r="G8" s="177" t="s">
        <v>66</v>
      </c>
      <c r="H8" s="185">
        <f>COUNTIFS(D:D,"=Crucial",F:F,"=Select From Drop Down")</f>
        <v>0</v>
      </c>
      <c r="I8" s="179">
        <f t="shared" si="1"/>
        <v>1</v>
      </c>
      <c r="J8" s="180">
        <f t="shared" si="2"/>
        <v>0</v>
      </c>
      <c r="K8" s="181">
        <f t="shared" si="0"/>
        <v>0</v>
      </c>
      <c r="L8" s="38"/>
    </row>
    <row r="9" spans="2:12" ht="30" customHeight="1" x14ac:dyDescent="0.3">
      <c r="B9" s="37" t="str">
        <f t="shared" si="3"/>
        <v>IStaff</v>
      </c>
      <c r="C9" s="2">
        <f>IF(ISTEXT(D9),MAX($C$4:$C8)+1,"")</f>
        <v>6</v>
      </c>
      <c r="D9" s="159" t="s">
        <v>11</v>
      </c>
      <c r="E9" s="55" t="s">
        <v>986</v>
      </c>
      <c r="F9" s="176" t="s">
        <v>43</v>
      </c>
      <c r="G9" s="177" t="s">
        <v>68</v>
      </c>
      <c r="H9" s="185">
        <f>COUNTIFS(D:D,"=Crucial",F:F,"=Function Available")</f>
        <v>0</v>
      </c>
      <c r="I9" s="179">
        <f t="shared" si="1"/>
        <v>1</v>
      </c>
      <c r="J9" s="180">
        <f t="shared" si="2"/>
        <v>0</v>
      </c>
      <c r="K9" s="181">
        <f t="shared" si="0"/>
        <v>0</v>
      </c>
      <c r="L9" s="38"/>
    </row>
    <row r="10" spans="2:12" ht="30" customHeight="1" x14ac:dyDescent="0.3">
      <c r="B10" s="37" t="str">
        <f t="shared" si="3"/>
        <v>IStaff</v>
      </c>
      <c r="C10" s="2">
        <f>IF(ISTEXT(D10),MAX($C$4:$C9)+1,"")</f>
        <v>7</v>
      </c>
      <c r="D10" s="159" t="s">
        <v>11</v>
      </c>
      <c r="E10" s="60" t="s">
        <v>987</v>
      </c>
      <c r="F10" s="176" t="s">
        <v>43</v>
      </c>
      <c r="G10" s="177" t="s">
        <v>70</v>
      </c>
      <c r="H10" s="185">
        <f>COUNTIFS(D:D,"=Crucial",F:F,"=Function Not Available")</f>
        <v>0</v>
      </c>
      <c r="I10" s="179">
        <f t="shared" si="1"/>
        <v>1</v>
      </c>
      <c r="J10" s="180">
        <f t="shared" si="2"/>
        <v>0</v>
      </c>
      <c r="K10" s="181">
        <f t="shared" si="0"/>
        <v>0</v>
      </c>
      <c r="L10" s="38"/>
    </row>
    <row r="11" spans="2:12" ht="30" customHeight="1" x14ac:dyDescent="0.3">
      <c r="B11" s="37" t="str">
        <f t="shared" si="3"/>
        <v>IStaff</v>
      </c>
      <c r="C11" s="2">
        <f>IF(ISTEXT(D11),MAX($C$4:$C10)+1,"")</f>
        <v>8</v>
      </c>
      <c r="D11" s="159" t="s">
        <v>11</v>
      </c>
      <c r="E11" s="60" t="s">
        <v>988</v>
      </c>
      <c r="F11" s="176" t="s">
        <v>43</v>
      </c>
      <c r="G11" s="177" t="s">
        <v>72</v>
      </c>
      <c r="H11" s="185">
        <f>COUNTIFS(D:D,"=Crucial",F:F,"=Exception")</f>
        <v>0</v>
      </c>
      <c r="I11" s="179">
        <f t="shared" si="1"/>
        <v>1</v>
      </c>
      <c r="J11" s="180">
        <f t="shared" si="2"/>
        <v>0</v>
      </c>
      <c r="K11" s="181">
        <f t="shared" si="0"/>
        <v>0</v>
      </c>
      <c r="L11" s="38"/>
    </row>
    <row r="12" spans="2:12" ht="30" customHeight="1" x14ac:dyDescent="0.3">
      <c r="B12" s="37" t="str">
        <f t="shared" si="3"/>
        <v>IStaff</v>
      </c>
      <c r="C12" s="2">
        <f>IF(ISTEXT(D12),MAX($C$4:$C11)+1,"")</f>
        <v>9</v>
      </c>
      <c r="D12" s="159" t="s">
        <v>11</v>
      </c>
      <c r="E12" s="60" t="s">
        <v>989</v>
      </c>
      <c r="F12" s="176" t="s">
        <v>43</v>
      </c>
      <c r="G12" s="186" t="s">
        <v>74</v>
      </c>
      <c r="H12" s="187">
        <f>COUNTIFS(D:D,"=Important",F:F,"=Select From Drop Down")</f>
        <v>0</v>
      </c>
      <c r="I12" s="179">
        <f t="shared" si="1"/>
        <v>1</v>
      </c>
      <c r="J12" s="180">
        <f t="shared" si="2"/>
        <v>0</v>
      </c>
      <c r="K12" s="181">
        <f t="shared" si="0"/>
        <v>0</v>
      </c>
      <c r="L12" s="38"/>
    </row>
    <row r="13" spans="2:12" ht="30" customHeight="1" x14ac:dyDescent="0.3">
      <c r="B13" s="37" t="str">
        <f t="shared" si="3"/>
        <v>IStaff</v>
      </c>
      <c r="C13" s="2">
        <f>IF(ISTEXT(D13),MAX($C$4:$C12)+1,"")</f>
        <v>10</v>
      </c>
      <c r="D13" s="159" t="s">
        <v>11</v>
      </c>
      <c r="E13" s="60" t="s">
        <v>990</v>
      </c>
      <c r="F13" s="176" t="s">
        <v>43</v>
      </c>
      <c r="G13" s="186" t="s">
        <v>76</v>
      </c>
      <c r="H13" s="187">
        <f>COUNTIFS(D:D,"=Important",F:F,"=Function Available")</f>
        <v>0</v>
      </c>
      <c r="I13" s="179">
        <f t="shared" si="1"/>
        <v>1</v>
      </c>
      <c r="J13" s="180">
        <f t="shared" si="2"/>
        <v>0</v>
      </c>
      <c r="K13" s="181">
        <f t="shared" si="0"/>
        <v>0</v>
      </c>
      <c r="L13" s="38"/>
    </row>
    <row r="14" spans="2:12" ht="30" customHeight="1" x14ac:dyDescent="0.3">
      <c r="B14" s="37" t="str">
        <f t="shared" si="3"/>
        <v>IStaff</v>
      </c>
      <c r="C14" s="2">
        <f>IF(ISTEXT(D14),MAX($C$4:$C13)+1,"")</f>
        <v>11</v>
      </c>
      <c r="D14" s="159" t="s">
        <v>11</v>
      </c>
      <c r="E14" s="60" t="s">
        <v>991</v>
      </c>
      <c r="F14" s="176" t="s">
        <v>43</v>
      </c>
      <c r="G14" s="177" t="s">
        <v>78</v>
      </c>
      <c r="H14" s="185">
        <f>COUNTIFS(D:D,"=Important",F:F,"=Function Not Available")</f>
        <v>0</v>
      </c>
      <c r="I14" s="188">
        <f t="shared" si="1"/>
        <v>1</v>
      </c>
      <c r="J14" s="189">
        <f t="shared" si="2"/>
        <v>0</v>
      </c>
      <c r="K14" s="181">
        <f t="shared" si="0"/>
        <v>0</v>
      </c>
      <c r="L14" s="38"/>
    </row>
    <row r="15" spans="2:12" ht="30" customHeight="1" x14ac:dyDescent="0.3">
      <c r="B15" s="37" t="str">
        <f t="shared" si="3"/>
        <v>IStaff</v>
      </c>
      <c r="C15" s="2">
        <f>IF(ISTEXT(D15),MAX($C$4:$C14)+1,"")</f>
        <v>12</v>
      </c>
      <c r="D15" s="159" t="s">
        <v>11</v>
      </c>
      <c r="E15" s="60" t="s">
        <v>992</v>
      </c>
      <c r="F15" s="176" t="s">
        <v>43</v>
      </c>
      <c r="G15" s="177" t="s">
        <v>80</v>
      </c>
      <c r="H15" s="185">
        <f>COUNTIFS(D:D,"=Important",F:F,"=Exception")</f>
        <v>0</v>
      </c>
      <c r="I15" s="188">
        <f t="shared" si="1"/>
        <v>1</v>
      </c>
      <c r="J15" s="189">
        <f t="shared" si="2"/>
        <v>0</v>
      </c>
      <c r="K15" s="181">
        <f t="shared" si="0"/>
        <v>0</v>
      </c>
      <c r="L15" s="38"/>
    </row>
    <row r="16" spans="2:12" ht="30" customHeight="1" x14ac:dyDescent="0.3">
      <c r="B16" s="37" t="str">
        <f t="shared" si="3"/>
        <v>IStaff</v>
      </c>
      <c r="C16" s="2">
        <f>IF(ISTEXT(D16),MAX($C$4:$C15)+1,"")</f>
        <v>13</v>
      </c>
      <c r="D16" s="159" t="s">
        <v>11</v>
      </c>
      <c r="E16" s="60" t="s">
        <v>993</v>
      </c>
      <c r="F16" s="176" t="s">
        <v>43</v>
      </c>
      <c r="G16" s="177" t="s">
        <v>82</v>
      </c>
      <c r="H16" s="185">
        <f>COUNTIFS(D:D,"=Minimal",F:F,"=Select From Drop Down")</f>
        <v>147</v>
      </c>
      <c r="I16" s="188">
        <f t="shared" si="1"/>
        <v>1</v>
      </c>
      <c r="J16" s="189">
        <f t="shared" si="2"/>
        <v>0</v>
      </c>
      <c r="K16" s="181">
        <f t="shared" si="0"/>
        <v>0</v>
      </c>
      <c r="L16" s="38"/>
    </row>
    <row r="17" spans="2:12" ht="30" customHeight="1" x14ac:dyDescent="0.3">
      <c r="B17" s="37" t="str">
        <f t="shared" si="3"/>
        <v>IStaff</v>
      </c>
      <c r="C17" s="2">
        <f>IF(ISTEXT(D17),MAX($C$4:$C16)+1,"")</f>
        <v>14</v>
      </c>
      <c r="D17" s="159" t="s">
        <v>11</v>
      </c>
      <c r="E17" s="60" t="s">
        <v>994</v>
      </c>
      <c r="F17" s="176" t="s">
        <v>43</v>
      </c>
      <c r="G17" s="177" t="s">
        <v>84</v>
      </c>
      <c r="H17" s="185">
        <f>COUNTIFS(D:D,"=Minimal",F:F,"=Function Available")</f>
        <v>0</v>
      </c>
      <c r="I17" s="188">
        <f t="shared" si="1"/>
        <v>1</v>
      </c>
      <c r="J17" s="189">
        <f t="shared" si="2"/>
        <v>0</v>
      </c>
      <c r="K17" s="181">
        <f t="shared" si="0"/>
        <v>0</v>
      </c>
      <c r="L17" s="38"/>
    </row>
    <row r="18" spans="2:12" ht="30" customHeight="1" x14ac:dyDescent="0.3">
      <c r="B18" s="37" t="str">
        <f t="shared" si="3"/>
        <v>IStaff</v>
      </c>
      <c r="C18" s="2">
        <f>IF(ISTEXT(D18),MAX($C$4:$C17)+1,"")</f>
        <v>15</v>
      </c>
      <c r="D18" s="159" t="s">
        <v>11</v>
      </c>
      <c r="E18" s="60" t="s">
        <v>995</v>
      </c>
      <c r="F18" s="176" t="s">
        <v>43</v>
      </c>
      <c r="G18" s="177" t="s">
        <v>86</v>
      </c>
      <c r="H18" s="185">
        <f>COUNTIFS(D:D,"=Minimal",F:F,"=Function Not Available")</f>
        <v>0</v>
      </c>
      <c r="I18" s="188">
        <f t="shared" si="1"/>
        <v>1</v>
      </c>
      <c r="J18" s="189">
        <f t="shared" si="2"/>
        <v>0</v>
      </c>
      <c r="K18" s="181">
        <f t="shared" si="0"/>
        <v>0</v>
      </c>
      <c r="L18" s="38"/>
    </row>
    <row r="19" spans="2:12" ht="30" customHeight="1" x14ac:dyDescent="0.3">
      <c r="B19" s="37" t="str">
        <f t="shared" si="3"/>
        <v>IStaff</v>
      </c>
      <c r="C19" s="2">
        <f>IF(ISTEXT(D19),MAX($C$4:$C18)+1,"")</f>
        <v>16</v>
      </c>
      <c r="D19" s="159" t="s">
        <v>11</v>
      </c>
      <c r="E19" s="60" t="s">
        <v>996</v>
      </c>
      <c r="F19" s="176" t="s">
        <v>43</v>
      </c>
      <c r="G19" s="177" t="s">
        <v>88</v>
      </c>
      <c r="H19" s="185">
        <f>COUNTIFS(D:D,"=Minimal",F:F,"=Exception")</f>
        <v>0</v>
      </c>
      <c r="I19" s="188">
        <f t="shared" si="1"/>
        <v>1</v>
      </c>
      <c r="J19" s="189">
        <f t="shared" si="2"/>
        <v>0</v>
      </c>
      <c r="K19" s="181">
        <f t="shared" si="0"/>
        <v>0</v>
      </c>
      <c r="L19" s="38"/>
    </row>
    <row r="20" spans="2:12" ht="30" customHeight="1" x14ac:dyDescent="0.3">
      <c r="B20" s="37" t="str">
        <f t="shared" si="3"/>
        <v>IStaff</v>
      </c>
      <c r="C20" s="2">
        <f>IF(ISTEXT(D20),MAX($C$4:$C19)+1,"")</f>
        <v>17</v>
      </c>
      <c r="D20" s="159" t="s">
        <v>11</v>
      </c>
      <c r="E20" s="60" t="s">
        <v>997</v>
      </c>
      <c r="F20" s="176" t="s">
        <v>43</v>
      </c>
      <c r="G20" s="177"/>
      <c r="H20" s="184"/>
      <c r="I20" s="188">
        <f t="shared" si="1"/>
        <v>1</v>
      </c>
      <c r="J20" s="189">
        <f t="shared" si="2"/>
        <v>0</v>
      </c>
      <c r="K20" s="181">
        <f t="shared" si="0"/>
        <v>0</v>
      </c>
      <c r="L20" s="38"/>
    </row>
    <row r="21" spans="2:12" ht="30" customHeight="1" x14ac:dyDescent="0.3">
      <c r="B21" s="37" t="str">
        <f t="shared" si="3"/>
        <v>IStaff</v>
      </c>
      <c r="C21" s="2">
        <f>IF(ISTEXT(D21),MAX($C$4:$C20)+1,"")</f>
        <v>18</v>
      </c>
      <c r="D21" s="159" t="s">
        <v>11</v>
      </c>
      <c r="E21" s="60" t="s">
        <v>998</v>
      </c>
      <c r="F21" s="176" t="s">
        <v>43</v>
      </c>
      <c r="G21" s="177"/>
      <c r="H21" s="184"/>
      <c r="I21" s="188">
        <f t="shared" si="1"/>
        <v>1</v>
      </c>
      <c r="J21" s="189">
        <f t="shared" si="2"/>
        <v>0</v>
      </c>
      <c r="K21" s="181">
        <f t="shared" si="0"/>
        <v>0</v>
      </c>
      <c r="L21" s="38"/>
    </row>
    <row r="22" spans="2:12" ht="30" customHeight="1" x14ac:dyDescent="0.3">
      <c r="B22" s="37" t="str">
        <f t="shared" si="3"/>
        <v>IStaff</v>
      </c>
      <c r="C22" s="2">
        <f>IF(ISTEXT(D22),MAX($C$4:$C21)+1,"")</f>
        <v>19</v>
      </c>
      <c r="D22" s="159" t="s">
        <v>11</v>
      </c>
      <c r="E22" s="60" t="s">
        <v>999</v>
      </c>
      <c r="F22" s="176" t="s">
        <v>43</v>
      </c>
      <c r="G22" s="177"/>
      <c r="H22" s="184"/>
      <c r="I22" s="188">
        <f t="shared" si="1"/>
        <v>1</v>
      </c>
      <c r="J22" s="189">
        <f t="shared" si="2"/>
        <v>0</v>
      </c>
      <c r="K22" s="181">
        <f t="shared" si="0"/>
        <v>0</v>
      </c>
      <c r="L22" s="38"/>
    </row>
    <row r="23" spans="2:12" ht="30" customHeight="1" x14ac:dyDescent="0.3">
      <c r="B23" s="37" t="str">
        <f t="shared" si="3"/>
        <v>IStaff</v>
      </c>
      <c r="C23" s="2">
        <f>IF(ISTEXT(D23),MAX($C$4:$C22)+1,"")</f>
        <v>20</v>
      </c>
      <c r="D23" s="159" t="s">
        <v>11</v>
      </c>
      <c r="E23" s="55" t="s">
        <v>1000</v>
      </c>
      <c r="F23" s="176" t="s">
        <v>43</v>
      </c>
      <c r="G23" s="177"/>
      <c r="H23" s="184"/>
      <c r="I23" s="188">
        <f t="shared" si="1"/>
        <v>1</v>
      </c>
      <c r="J23" s="189">
        <f t="shared" si="2"/>
        <v>0</v>
      </c>
      <c r="K23" s="181">
        <f t="shared" si="0"/>
        <v>0</v>
      </c>
      <c r="L23" s="38"/>
    </row>
    <row r="24" spans="2:12" ht="30" customHeight="1" x14ac:dyDescent="0.3">
      <c r="B24" s="37" t="str">
        <f t="shared" si="3"/>
        <v>IStaff</v>
      </c>
      <c r="C24" s="2">
        <f>IF(ISTEXT(D24),MAX($C$4:$C23)+1,"")</f>
        <v>21</v>
      </c>
      <c r="D24" s="159" t="s">
        <v>11</v>
      </c>
      <c r="E24" s="55" t="s">
        <v>1001</v>
      </c>
      <c r="F24" s="176" t="s">
        <v>43</v>
      </c>
      <c r="G24" s="192"/>
      <c r="H24" s="193"/>
      <c r="I24" s="190">
        <f t="shared" si="1"/>
        <v>1</v>
      </c>
      <c r="J24" s="191">
        <f t="shared" si="2"/>
        <v>0</v>
      </c>
      <c r="K24" s="181">
        <f t="shared" si="0"/>
        <v>0</v>
      </c>
      <c r="L24" s="38"/>
    </row>
    <row r="25" spans="2:12" ht="30" customHeight="1" x14ac:dyDescent="0.3">
      <c r="B25" s="37" t="str">
        <f t="shared" si="3"/>
        <v>IStaff</v>
      </c>
      <c r="C25" s="2">
        <f>IF(ISTEXT(D25),MAX($C$4:$C24)+1,"")</f>
        <v>22</v>
      </c>
      <c r="D25" s="159" t="s">
        <v>11</v>
      </c>
      <c r="E25" s="55" t="s">
        <v>1002</v>
      </c>
      <c r="F25" s="176" t="s">
        <v>43</v>
      </c>
      <c r="G25" s="186"/>
      <c r="H25" s="234"/>
      <c r="I25" s="179">
        <f t="shared" si="1"/>
        <v>1</v>
      </c>
      <c r="J25" s="180">
        <f t="shared" si="2"/>
        <v>0</v>
      </c>
      <c r="K25" s="181">
        <f t="shared" si="0"/>
        <v>0</v>
      </c>
      <c r="L25" s="38"/>
    </row>
    <row r="26" spans="2:12" ht="30" customHeight="1" x14ac:dyDescent="0.3">
      <c r="B26" s="37" t="str">
        <f t="shared" si="3"/>
        <v>IStaff</v>
      </c>
      <c r="C26" s="2">
        <f>IF(ISTEXT(D26),MAX($C$4:$C25)+1,"")</f>
        <v>23</v>
      </c>
      <c r="D26" s="159" t="s">
        <v>11</v>
      </c>
      <c r="E26" s="55" t="s">
        <v>1003</v>
      </c>
      <c r="F26" s="176" t="s">
        <v>43</v>
      </c>
      <c r="G26" s="177"/>
      <c r="H26" s="184"/>
      <c r="I26" s="188">
        <f t="shared" si="1"/>
        <v>1</v>
      </c>
      <c r="J26" s="189">
        <f t="shared" si="2"/>
        <v>0</v>
      </c>
      <c r="K26" s="181">
        <f t="shared" si="0"/>
        <v>0</v>
      </c>
      <c r="L26" s="38"/>
    </row>
    <row r="27" spans="2:12" ht="30" customHeight="1" x14ac:dyDescent="0.3">
      <c r="B27" s="37" t="str">
        <f t="shared" si="3"/>
        <v>IStaff</v>
      </c>
      <c r="C27" s="2">
        <f>IF(ISTEXT(D27),MAX($C$4:$C26)+1,"")</f>
        <v>24</v>
      </c>
      <c r="D27" s="159" t="s">
        <v>11</v>
      </c>
      <c r="E27" s="283" t="s">
        <v>1004</v>
      </c>
      <c r="F27" s="176" t="s">
        <v>43</v>
      </c>
      <c r="G27" s="192"/>
      <c r="H27" s="193"/>
      <c r="I27" s="190">
        <f t="shared" si="1"/>
        <v>1</v>
      </c>
      <c r="J27" s="191">
        <f t="shared" si="2"/>
        <v>0</v>
      </c>
      <c r="K27" s="181">
        <f t="shared" si="0"/>
        <v>0</v>
      </c>
      <c r="L27" s="38"/>
    </row>
    <row r="28" spans="2:12" ht="30" customHeight="1" x14ac:dyDescent="0.3">
      <c r="B28" s="40" t="str">
        <f t="shared" si="3"/>
        <v/>
      </c>
      <c r="C28" s="1" t="str">
        <f>IF(ISTEXT(D28),MAX($C$6:$C27)+1,"")</f>
        <v/>
      </c>
      <c r="D28" s="3"/>
      <c r="E28" s="64" t="s">
        <v>1005</v>
      </c>
      <c r="F28" s="115"/>
      <c r="G28" s="31"/>
      <c r="H28" s="31"/>
      <c r="I28" s="31"/>
      <c r="J28" s="31"/>
      <c r="K28" s="181"/>
      <c r="L28" s="31"/>
    </row>
    <row r="29" spans="2:12" ht="30" customHeight="1" x14ac:dyDescent="0.3">
      <c r="B29" s="37" t="str">
        <f t="shared" si="3"/>
        <v>IStaff</v>
      </c>
      <c r="C29" s="2">
        <f>IF(ISTEXT(D29),MAX($C$4:$C27)+1,"")</f>
        <v>25</v>
      </c>
      <c r="D29" s="159" t="s">
        <v>11</v>
      </c>
      <c r="E29" s="82" t="s">
        <v>1006</v>
      </c>
      <c r="F29" s="176" t="s">
        <v>43</v>
      </c>
      <c r="G29" s="186"/>
      <c r="H29" s="234"/>
      <c r="I29" s="179">
        <f t="shared" si="1"/>
        <v>1</v>
      </c>
      <c r="J29" s="180">
        <f t="shared" si="2"/>
        <v>0</v>
      </c>
      <c r="K29" s="181">
        <f t="shared" si="0"/>
        <v>0</v>
      </c>
      <c r="L29" s="38"/>
    </row>
    <row r="30" spans="2:12" ht="30" customHeight="1" x14ac:dyDescent="0.3">
      <c r="B30" s="37" t="str">
        <f t="shared" si="3"/>
        <v>IStaff</v>
      </c>
      <c r="C30" s="2">
        <f>IF(ISTEXT(D30),MAX($C$4:$C29)+1,"")</f>
        <v>26</v>
      </c>
      <c r="D30" s="159" t="s">
        <v>11</v>
      </c>
      <c r="E30" s="81" t="s">
        <v>1007</v>
      </c>
      <c r="F30" s="176" t="s">
        <v>43</v>
      </c>
      <c r="G30" s="177"/>
      <c r="H30" s="184"/>
      <c r="I30" s="188">
        <f t="shared" si="1"/>
        <v>1</v>
      </c>
      <c r="J30" s="189">
        <f t="shared" si="2"/>
        <v>0</v>
      </c>
      <c r="K30" s="181">
        <f t="shared" si="0"/>
        <v>0</v>
      </c>
      <c r="L30" s="38"/>
    </row>
    <row r="31" spans="2:12" ht="30" customHeight="1" x14ac:dyDescent="0.3">
      <c r="B31" s="37" t="str">
        <f t="shared" si="3"/>
        <v>IStaff</v>
      </c>
      <c r="C31" s="2">
        <f>IF(ISTEXT(D31),MAX($C$4:$C30)+1,"")</f>
        <v>27</v>
      </c>
      <c r="D31" s="159" t="s">
        <v>11</v>
      </c>
      <c r="E31" s="81" t="s">
        <v>1008</v>
      </c>
      <c r="F31" s="176" t="s">
        <v>43</v>
      </c>
      <c r="G31" s="177"/>
      <c r="H31" s="184"/>
      <c r="I31" s="188">
        <f t="shared" si="1"/>
        <v>1</v>
      </c>
      <c r="J31" s="189">
        <f t="shared" si="2"/>
        <v>0</v>
      </c>
      <c r="K31" s="181">
        <f t="shared" si="0"/>
        <v>0</v>
      </c>
      <c r="L31" s="38"/>
    </row>
    <row r="32" spans="2:12" ht="30" customHeight="1" x14ac:dyDescent="0.3">
      <c r="B32" s="37" t="str">
        <f t="shared" si="3"/>
        <v>IStaff</v>
      </c>
      <c r="C32" s="2">
        <f>IF(ISTEXT(D32),MAX($C$4:$C31)+1,"")</f>
        <v>28</v>
      </c>
      <c r="D32" s="159" t="s">
        <v>11</v>
      </c>
      <c r="E32" s="60" t="s">
        <v>1009</v>
      </c>
      <c r="F32" s="176" t="s">
        <v>43</v>
      </c>
      <c r="G32" s="177"/>
      <c r="H32" s="184"/>
      <c r="I32" s="188">
        <f t="shared" si="1"/>
        <v>1</v>
      </c>
      <c r="J32" s="189">
        <f t="shared" si="2"/>
        <v>0</v>
      </c>
      <c r="K32" s="181">
        <f t="shared" si="0"/>
        <v>0</v>
      </c>
      <c r="L32" s="38"/>
    </row>
    <row r="33" spans="2:12" ht="30" customHeight="1" x14ac:dyDescent="0.3">
      <c r="B33" s="37" t="str">
        <f t="shared" si="3"/>
        <v>IStaff</v>
      </c>
      <c r="C33" s="2">
        <f>IF(ISTEXT(D33),MAX($C$4:$C32)+1,"")</f>
        <v>29</v>
      </c>
      <c r="D33" s="159" t="s">
        <v>11</v>
      </c>
      <c r="E33" s="60" t="s">
        <v>1010</v>
      </c>
      <c r="F33" s="225" t="s">
        <v>43</v>
      </c>
      <c r="G33" s="177"/>
      <c r="H33" s="184"/>
      <c r="I33" s="188">
        <f>VLOOKUP($D33,SpecData,2,FALSE)</f>
        <v>1</v>
      </c>
      <c r="J33" s="189">
        <f>VLOOKUP($F33,AvailabilityData,2,FALSE)</f>
        <v>0</v>
      </c>
      <c r="K33" s="181">
        <f t="shared" si="0"/>
        <v>0</v>
      </c>
      <c r="L33" s="38"/>
    </row>
    <row r="34" spans="2:12" ht="15.6" x14ac:dyDescent="0.3">
      <c r="B34" s="321" t="s">
        <v>1011</v>
      </c>
      <c r="C34" s="321"/>
      <c r="D34" s="321"/>
      <c r="E34" s="84"/>
      <c r="F34" s="321"/>
      <c r="G34" s="321"/>
      <c r="H34" s="321"/>
      <c r="I34" s="321"/>
      <c r="J34" s="321"/>
      <c r="K34" s="181"/>
      <c r="L34" s="321"/>
    </row>
    <row r="35" spans="2:12" ht="30" customHeight="1" x14ac:dyDescent="0.3">
      <c r="B35" s="260" t="str">
        <f t="shared" si="3"/>
        <v>IStaff</v>
      </c>
      <c r="C35" s="260">
        <f>IF(ISTEXT(D35),MAX($C$4:$C33)+1,"")</f>
        <v>30</v>
      </c>
      <c r="D35" s="261" t="s">
        <v>11</v>
      </c>
      <c r="E35" s="348" t="s">
        <v>1012</v>
      </c>
      <c r="F35" s="225" t="s">
        <v>43</v>
      </c>
      <c r="G35" s="177"/>
      <c r="H35" s="184"/>
      <c r="I35" s="188">
        <f>VLOOKUP($D35,SpecData,2,FALSE)</f>
        <v>1</v>
      </c>
      <c r="J35" s="189">
        <f>VLOOKUP($F35,AvailabilityData,2,FALSE)</f>
        <v>0</v>
      </c>
      <c r="K35" s="181">
        <f t="shared" si="0"/>
        <v>0</v>
      </c>
      <c r="L35" s="38"/>
    </row>
    <row r="36" spans="2:12" ht="45" x14ac:dyDescent="0.3">
      <c r="B36" s="260" t="str">
        <f t="shared" si="3"/>
        <v>IStaff</v>
      </c>
      <c r="C36" s="260">
        <f>IF(ISTEXT(D36),MAX($C$4:$C35)+1,"")</f>
        <v>31</v>
      </c>
      <c r="D36" s="261" t="s">
        <v>11</v>
      </c>
      <c r="E36" s="349" t="s">
        <v>1013</v>
      </c>
      <c r="F36" s="225" t="s">
        <v>43</v>
      </c>
      <c r="G36" s="177"/>
      <c r="H36" s="184"/>
      <c r="I36" s="188">
        <f>VLOOKUP($D36,SpecData,2,FALSE)</f>
        <v>1</v>
      </c>
      <c r="J36" s="189">
        <f>VLOOKUP($F36,AvailabilityData,2,FALSE)</f>
        <v>0</v>
      </c>
      <c r="K36" s="181">
        <f t="shared" si="0"/>
        <v>0</v>
      </c>
      <c r="L36" s="38"/>
    </row>
    <row r="37" spans="2:12" ht="30" customHeight="1" x14ac:dyDescent="0.3">
      <c r="B37" s="260" t="str">
        <f t="shared" si="3"/>
        <v>IStaff</v>
      </c>
      <c r="C37" s="260">
        <f>IF(ISTEXT(D37),MAX($C$4:$C36)+1,"")</f>
        <v>32</v>
      </c>
      <c r="D37" s="261" t="s">
        <v>11</v>
      </c>
      <c r="E37" s="350" t="s">
        <v>1014</v>
      </c>
      <c r="F37" s="225" t="s">
        <v>43</v>
      </c>
      <c r="G37" s="177"/>
      <c r="H37" s="184"/>
      <c r="I37" s="188">
        <f>VLOOKUP($D37,SpecData,2,FALSE)</f>
        <v>1</v>
      </c>
      <c r="J37" s="189">
        <f>VLOOKUP($F37,AvailabilityData,2,FALSE)</f>
        <v>0</v>
      </c>
      <c r="K37" s="181">
        <f t="shared" si="0"/>
        <v>0</v>
      </c>
      <c r="L37" s="38"/>
    </row>
    <row r="38" spans="2:12" ht="30" customHeight="1" x14ac:dyDescent="0.3">
      <c r="B38" s="351" t="str">
        <f t="shared" si="3"/>
        <v/>
      </c>
      <c r="C38" s="351" t="str">
        <f>IF(ISTEXT(D38),MAX($C$5:$C37)+1,"")</f>
        <v/>
      </c>
      <c r="D38" s="352"/>
      <c r="E38" s="353" t="s">
        <v>1015</v>
      </c>
      <c r="F38" s="115"/>
      <c r="G38" s="31"/>
      <c r="H38" s="31"/>
      <c r="I38" s="31"/>
      <c r="J38" s="31"/>
      <c r="K38" s="181"/>
      <c r="L38" s="31"/>
    </row>
    <row r="39" spans="2:12" ht="30" customHeight="1" x14ac:dyDescent="0.3">
      <c r="B39" s="260" t="str">
        <f t="shared" si="3"/>
        <v>IStaff</v>
      </c>
      <c r="C39" s="260">
        <f>IF(ISTEXT(D39),MAX($C$4:$C37)+1,"")</f>
        <v>33</v>
      </c>
      <c r="D39" s="261" t="s">
        <v>11</v>
      </c>
      <c r="E39" s="354" t="s">
        <v>1016</v>
      </c>
      <c r="F39" s="225" t="s">
        <v>43</v>
      </c>
      <c r="G39" s="177"/>
      <c r="H39" s="184"/>
      <c r="I39" s="188">
        <f t="shared" ref="I39:I60" si="4">VLOOKUP($D39,SpecData,2,FALSE)</f>
        <v>1</v>
      </c>
      <c r="J39" s="189">
        <f t="shared" ref="J39:J60" si="5">VLOOKUP($F39,AvailabilityData,2,FALSE)</f>
        <v>0</v>
      </c>
      <c r="K39" s="181">
        <f t="shared" si="0"/>
        <v>0</v>
      </c>
      <c r="L39" s="38"/>
    </row>
    <row r="40" spans="2:12" ht="30" customHeight="1" x14ac:dyDescent="0.3">
      <c r="B40" s="260" t="str">
        <f t="shared" si="3"/>
        <v>IStaff</v>
      </c>
      <c r="C40" s="260">
        <f>IF(ISTEXT(D40),MAX($C$4:$C39)+1,"")</f>
        <v>34</v>
      </c>
      <c r="D40" s="261" t="s">
        <v>11</v>
      </c>
      <c r="E40" s="355" t="s">
        <v>1017</v>
      </c>
      <c r="F40" s="225" t="s">
        <v>43</v>
      </c>
      <c r="G40" s="177"/>
      <c r="H40" s="184"/>
      <c r="I40" s="188">
        <f t="shared" si="4"/>
        <v>1</v>
      </c>
      <c r="J40" s="189">
        <f t="shared" si="5"/>
        <v>0</v>
      </c>
      <c r="K40" s="181">
        <f t="shared" si="0"/>
        <v>0</v>
      </c>
      <c r="L40" s="38"/>
    </row>
    <row r="41" spans="2:12" ht="30" customHeight="1" x14ac:dyDescent="0.3">
      <c r="B41" s="260" t="str">
        <f t="shared" si="3"/>
        <v>IStaff</v>
      </c>
      <c r="C41" s="260">
        <f>IF(ISTEXT(D41),MAX($C$4:$C40)+1,"")</f>
        <v>35</v>
      </c>
      <c r="D41" s="261" t="s">
        <v>11</v>
      </c>
      <c r="E41" s="355" t="s">
        <v>1018</v>
      </c>
      <c r="F41" s="225" t="s">
        <v>43</v>
      </c>
      <c r="G41" s="177"/>
      <c r="H41" s="184"/>
      <c r="I41" s="188">
        <f t="shared" si="4"/>
        <v>1</v>
      </c>
      <c r="J41" s="189">
        <f t="shared" si="5"/>
        <v>0</v>
      </c>
      <c r="K41" s="181">
        <f t="shared" si="0"/>
        <v>0</v>
      </c>
      <c r="L41" s="38"/>
    </row>
    <row r="42" spans="2:12" ht="30" customHeight="1" x14ac:dyDescent="0.3">
      <c r="B42" s="260" t="str">
        <f t="shared" si="3"/>
        <v>IStaff</v>
      </c>
      <c r="C42" s="260">
        <f>IF(ISTEXT(D42),MAX($C$4:$C41)+1,"")</f>
        <v>36</v>
      </c>
      <c r="D42" s="261" t="s">
        <v>11</v>
      </c>
      <c r="E42" s="355" t="s">
        <v>1019</v>
      </c>
      <c r="F42" s="225" t="s">
        <v>43</v>
      </c>
      <c r="G42" s="177"/>
      <c r="H42" s="184"/>
      <c r="I42" s="188">
        <f t="shared" si="4"/>
        <v>1</v>
      </c>
      <c r="J42" s="189">
        <f t="shared" si="5"/>
        <v>0</v>
      </c>
      <c r="K42" s="181">
        <f t="shared" si="0"/>
        <v>0</v>
      </c>
      <c r="L42" s="38"/>
    </row>
    <row r="43" spans="2:12" ht="30" customHeight="1" x14ac:dyDescent="0.3">
      <c r="B43" s="260" t="str">
        <f t="shared" si="3"/>
        <v>IStaff</v>
      </c>
      <c r="C43" s="260">
        <f>IF(ISTEXT(D43),MAX($C$4:$C42)+1,"")</f>
        <v>37</v>
      </c>
      <c r="D43" s="261" t="s">
        <v>11</v>
      </c>
      <c r="E43" s="355" t="s">
        <v>1020</v>
      </c>
      <c r="F43" s="225" t="s">
        <v>43</v>
      </c>
      <c r="G43" s="177"/>
      <c r="H43" s="184"/>
      <c r="I43" s="188">
        <f t="shared" si="4"/>
        <v>1</v>
      </c>
      <c r="J43" s="189">
        <f t="shared" si="5"/>
        <v>0</v>
      </c>
      <c r="K43" s="181">
        <f t="shared" si="0"/>
        <v>0</v>
      </c>
      <c r="L43" s="38"/>
    </row>
    <row r="44" spans="2:12" ht="30" customHeight="1" x14ac:dyDescent="0.3">
      <c r="B44" s="260" t="str">
        <f t="shared" si="3"/>
        <v>IStaff</v>
      </c>
      <c r="C44" s="260">
        <f>IF(ISTEXT(D44),MAX($C$4:$C43)+1,"")</f>
        <v>38</v>
      </c>
      <c r="D44" s="261" t="s">
        <v>11</v>
      </c>
      <c r="E44" s="355" t="s">
        <v>1021</v>
      </c>
      <c r="F44" s="225" t="s">
        <v>43</v>
      </c>
      <c r="G44" s="177"/>
      <c r="H44" s="184"/>
      <c r="I44" s="188">
        <f t="shared" si="4"/>
        <v>1</v>
      </c>
      <c r="J44" s="189">
        <f t="shared" si="5"/>
        <v>0</v>
      </c>
      <c r="K44" s="181">
        <f t="shared" si="0"/>
        <v>0</v>
      </c>
      <c r="L44" s="38"/>
    </row>
    <row r="45" spans="2:12" ht="30" customHeight="1" x14ac:dyDescent="0.3">
      <c r="B45" s="260" t="str">
        <f t="shared" si="3"/>
        <v>IStaff</v>
      </c>
      <c r="C45" s="260">
        <f>IF(ISTEXT(D45),MAX($C$4:$C44)+1,"")</f>
        <v>39</v>
      </c>
      <c r="D45" s="261" t="s">
        <v>11</v>
      </c>
      <c r="E45" s="355" t="s">
        <v>1022</v>
      </c>
      <c r="F45" s="225" t="s">
        <v>43</v>
      </c>
      <c r="G45" s="177"/>
      <c r="H45" s="184"/>
      <c r="I45" s="188">
        <f t="shared" si="4"/>
        <v>1</v>
      </c>
      <c r="J45" s="189">
        <f t="shared" si="5"/>
        <v>0</v>
      </c>
      <c r="K45" s="181">
        <f t="shared" si="0"/>
        <v>0</v>
      </c>
      <c r="L45" s="38"/>
    </row>
    <row r="46" spans="2:12" ht="30" customHeight="1" x14ac:dyDescent="0.3">
      <c r="B46" s="260" t="str">
        <f t="shared" si="3"/>
        <v>IStaff</v>
      </c>
      <c r="C46" s="260">
        <f>IF(ISTEXT(D46),MAX($C$4:$C45)+1,"")</f>
        <v>40</v>
      </c>
      <c r="D46" s="261" t="s">
        <v>11</v>
      </c>
      <c r="E46" s="355" t="s">
        <v>1023</v>
      </c>
      <c r="F46" s="225" t="s">
        <v>43</v>
      </c>
      <c r="G46" s="177"/>
      <c r="H46" s="184"/>
      <c r="I46" s="188">
        <f t="shared" si="4"/>
        <v>1</v>
      </c>
      <c r="J46" s="189">
        <f t="shared" si="5"/>
        <v>0</v>
      </c>
      <c r="K46" s="181">
        <f t="shared" si="0"/>
        <v>0</v>
      </c>
      <c r="L46" s="38"/>
    </row>
    <row r="47" spans="2:12" ht="30" customHeight="1" x14ac:dyDescent="0.3">
      <c r="B47" s="260" t="str">
        <f t="shared" si="3"/>
        <v>IStaff</v>
      </c>
      <c r="C47" s="260">
        <f>IF(ISTEXT(D47),MAX($C$4:$C46)+1,"")</f>
        <v>41</v>
      </c>
      <c r="D47" s="261" t="s">
        <v>11</v>
      </c>
      <c r="E47" s="355" t="s">
        <v>1024</v>
      </c>
      <c r="F47" s="225" t="s">
        <v>43</v>
      </c>
      <c r="G47" s="177"/>
      <c r="H47" s="184"/>
      <c r="I47" s="188">
        <f t="shared" si="4"/>
        <v>1</v>
      </c>
      <c r="J47" s="189">
        <f t="shared" si="5"/>
        <v>0</v>
      </c>
      <c r="K47" s="181">
        <f t="shared" si="0"/>
        <v>0</v>
      </c>
      <c r="L47" s="38"/>
    </row>
    <row r="48" spans="2:12" ht="36" customHeight="1" x14ac:dyDescent="0.3">
      <c r="B48" s="260" t="str">
        <f t="shared" si="3"/>
        <v>IStaff</v>
      </c>
      <c r="C48" s="260">
        <f>IF(ISTEXT(D48),MAX($C$4:$C47)+1,"")</f>
        <v>42</v>
      </c>
      <c r="D48" s="261" t="s">
        <v>11</v>
      </c>
      <c r="E48" s="356" t="s">
        <v>1025</v>
      </c>
      <c r="F48" s="225" t="s">
        <v>43</v>
      </c>
      <c r="G48" s="177"/>
      <c r="H48" s="184"/>
      <c r="I48" s="188">
        <f t="shared" si="4"/>
        <v>1</v>
      </c>
      <c r="J48" s="189">
        <f t="shared" si="5"/>
        <v>0</v>
      </c>
      <c r="K48" s="181">
        <f t="shared" si="0"/>
        <v>0</v>
      </c>
      <c r="L48" s="38"/>
    </row>
    <row r="49" spans="2:12" ht="30" customHeight="1" x14ac:dyDescent="0.3">
      <c r="B49" s="260" t="str">
        <f t="shared" si="3"/>
        <v>IStaff</v>
      </c>
      <c r="C49" s="260">
        <f>IF(ISTEXT(D49),MAX($C$4:$C48)+1,"")</f>
        <v>43</v>
      </c>
      <c r="D49" s="261" t="s">
        <v>11</v>
      </c>
      <c r="E49" s="355" t="s">
        <v>1026</v>
      </c>
      <c r="F49" s="225" t="s">
        <v>43</v>
      </c>
      <c r="G49" s="177"/>
      <c r="H49" s="184"/>
      <c r="I49" s="188">
        <f t="shared" si="4"/>
        <v>1</v>
      </c>
      <c r="J49" s="189">
        <f t="shared" si="5"/>
        <v>0</v>
      </c>
      <c r="K49" s="181">
        <f t="shared" si="0"/>
        <v>0</v>
      </c>
      <c r="L49" s="38"/>
    </row>
    <row r="50" spans="2:12" ht="30" customHeight="1" x14ac:dyDescent="0.3">
      <c r="B50" s="260" t="str">
        <f t="shared" si="3"/>
        <v>IStaff</v>
      </c>
      <c r="C50" s="260">
        <f>IF(ISTEXT(D50),MAX($C$4:$C49)+1,"")</f>
        <v>44</v>
      </c>
      <c r="D50" s="261" t="s">
        <v>11</v>
      </c>
      <c r="E50" s="355" t="s">
        <v>1027</v>
      </c>
      <c r="F50" s="225" t="s">
        <v>43</v>
      </c>
      <c r="G50" s="177"/>
      <c r="H50" s="184"/>
      <c r="I50" s="188">
        <f t="shared" si="4"/>
        <v>1</v>
      </c>
      <c r="J50" s="189">
        <f t="shared" si="5"/>
        <v>0</v>
      </c>
      <c r="K50" s="181">
        <f t="shared" si="0"/>
        <v>0</v>
      </c>
      <c r="L50" s="38"/>
    </row>
    <row r="51" spans="2:12" ht="30" customHeight="1" x14ac:dyDescent="0.3">
      <c r="B51" s="260" t="str">
        <f t="shared" si="3"/>
        <v>IStaff</v>
      </c>
      <c r="C51" s="260">
        <f>IF(ISTEXT(D51),MAX($C$4:$C50)+1,"")</f>
        <v>45</v>
      </c>
      <c r="D51" s="261" t="s">
        <v>11</v>
      </c>
      <c r="E51" s="355" t="s">
        <v>1028</v>
      </c>
      <c r="F51" s="225" t="s">
        <v>43</v>
      </c>
      <c r="G51" s="177"/>
      <c r="H51" s="184"/>
      <c r="I51" s="188">
        <f t="shared" si="4"/>
        <v>1</v>
      </c>
      <c r="J51" s="189">
        <f t="shared" si="5"/>
        <v>0</v>
      </c>
      <c r="K51" s="181">
        <f t="shared" si="0"/>
        <v>0</v>
      </c>
      <c r="L51" s="38"/>
    </row>
    <row r="52" spans="2:12" ht="30" customHeight="1" x14ac:dyDescent="0.3">
      <c r="B52" s="260" t="str">
        <f t="shared" si="3"/>
        <v>IStaff</v>
      </c>
      <c r="C52" s="260">
        <f>IF(ISTEXT(D52),MAX($C$4:$C51)+1,"")</f>
        <v>46</v>
      </c>
      <c r="D52" s="261" t="s">
        <v>11</v>
      </c>
      <c r="E52" s="355" t="s">
        <v>1029</v>
      </c>
      <c r="F52" s="225" t="s">
        <v>43</v>
      </c>
      <c r="G52" s="177"/>
      <c r="H52" s="184"/>
      <c r="I52" s="188">
        <f t="shared" si="4"/>
        <v>1</v>
      </c>
      <c r="J52" s="189">
        <f t="shared" si="5"/>
        <v>0</v>
      </c>
      <c r="K52" s="181">
        <f t="shared" si="0"/>
        <v>0</v>
      </c>
      <c r="L52" s="38"/>
    </row>
    <row r="53" spans="2:12" ht="30" customHeight="1" x14ac:dyDescent="0.3">
      <c r="B53" s="260" t="str">
        <f t="shared" si="3"/>
        <v>IStaff</v>
      </c>
      <c r="C53" s="260">
        <f>IF(ISTEXT(D53),MAX($C$4:$C52)+1,"")</f>
        <v>47</v>
      </c>
      <c r="D53" s="261" t="s">
        <v>11</v>
      </c>
      <c r="E53" s="355" t="s">
        <v>1030</v>
      </c>
      <c r="F53" s="225" t="s">
        <v>43</v>
      </c>
      <c r="G53" s="177"/>
      <c r="H53" s="184"/>
      <c r="I53" s="188">
        <f t="shared" si="4"/>
        <v>1</v>
      </c>
      <c r="J53" s="189">
        <f t="shared" si="5"/>
        <v>0</v>
      </c>
      <c r="K53" s="181">
        <f t="shared" si="0"/>
        <v>0</v>
      </c>
      <c r="L53" s="38"/>
    </row>
    <row r="54" spans="2:12" ht="30" customHeight="1" x14ac:dyDescent="0.3">
      <c r="B54" s="260" t="str">
        <f t="shared" si="3"/>
        <v>IStaff</v>
      </c>
      <c r="C54" s="260">
        <f>IF(ISTEXT(D54),MAX($C$4:$C53)+1,"")</f>
        <v>48</v>
      </c>
      <c r="D54" s="261" t="s">
        <v>11</v>
      </c>
      <c r="E54" s="355" t="s">
        <v>1031</v>
      </c>
      <c r="F54" s="225" t="s">
        <v>43</v>
      </c>
      <c r="G54" s="177"/>
      <c r="H54" s="184"/>
      <c r="I54" s="188">
        <f t="shared" si="4"/>
        <v>1</v>
      </c>
      <c r="J54" s="189">
        <f t="shared" si="5"/>
        <v>0</v>
      </c>
      <c r="K54" s="181">
        <f t="shared" si="0"/>
        <v>0</v>
      </c>
      <c r="L54" s="38"/>
    </row>
    <row r="55" spans="2:12" ht="33.6" customHeight="1" x14ac:dyDescent="0.3">
      <c r="B55" s="260" t="str">
        <f t="shared" si="3"/>
        <v>IStaff</v>
      </c>
      <c r="C55" s="260">
        <f>IF(ISTEXT(D55),MAX($C$4:$C54)+1,"")</f>
        <v>49</v>
      </c>
      <c r="D55" s="261" t="s">
        <v>11</v>
      </c>
      <c r="E55" s="355" t="s">
        <v>1032</v>
      </c>
      <c r="F55" s="225" t="s">
        <v>43</v>
      </c>
      <c r="G55" s="177"/>
      <c r="H55" s="184"/>
      <c r="I55" s="188">
        <f t="shared" si="4"/>
        <v>1</v>
      </c>
      <c r="J55" s="189">
        <f t="shared" si="5"/>
        <v>0</v>
      </c>
      <c r="K55" s="181">
        <f t="shared" si="0"/>
        <v>0</v>
      </c>
      <c r="L55" s="38"/>
    </row>
    <row r="56" spans="2:12" ht="30" customHeight="1" x14ac:dyDescent="0.3">
      <c r="B56" s="260" t="str">
        <f t="shared" si="3"/>
        <v>IStaff</v>
      </c>
      <c r="C56" s="260">
        <f>IF(ISTEXT(D56),MAX($C$4:$C55)+1,"")</f>
        <v>50</v>
      </c>
      <c r="D56" s="261" t="s">
        <v>11</v>
      </c>
      <c r="E56" s="355" t="s">
        <v>1033</v>
      </c>
      <c r="F56" s="225" t="s">
        <v>43</v>
      </c>
      <c r="G56" s="177"/>
      <c r="H56" s="184"/>
      <c r="I56" s="188">
        <f t="shared" si="4"/>
        <v>1</v>
      </c>
      <c r="J56" s="189">
        <f t="shared" si="5"/>
        <v>0</v>
      </c>
      <c r="K56" s="181">
        <f t="shared" si="0"/>
        <v>0</v>
      </c>
      <c r="L56" s="38"/>
    </row>
    <row r="57" spans="2:12" ht="30" customHeight="1" x14ac:dyDescent="0.3">
      <c r="B57" s="260" t="str">
        <f t="shared" si="3"/>
        <v>IStaff</v>
      </c>
      <c r="C57" s="260">
        <f>IF(ISTEXT(D57),MAX($C$4:$C56)+1,"")</f>
        <v>51</v>
      </c>
      <c r="D57" s="261" t="s">
        <v>11</v>
      </c>
      <c r="E57" s="355" t="s">
        <v>1034</v>
      </c>
      <c r="F57" s="225" t="s">
        <v>43</v>
      </c>
      <c r="G57" s="177"/>
      <c r="H57" s="184"/>
      <c r="I57" s="188">
        <f t="shared" si="4"/>
        <v>1</v>
      </c>
      <c r="J57" s="189">
        <f t="shared" si="5"/>
        <v>0</v>
      </c>
      <c r="K57" s="181">
        <f t="shared" si="0"/>
        <v>0</v>
      </c>
      <c r="L57" s="38"/>
    </row>
    <row r="58" spans="2:12" ht="30" customHeight="1" x14ac:dyDescent="0.3">
      <c r="B58" s="260" t="str">
        <f t="shared" si="3"/>
        <v>IStaff</v>
      </c>
      <c r="C58" s="260">
        <f>IF(ISTEXT(D58),MAX($C$4:$C57)+1,"")</f>
        <v>52</v>
      </c>
      <c r="D58" s="261" t="s">
        <v>11</v>
      </c>
      <c r="E58" s="355" t="s">
        <v>1035</v>
      </c>
      <c r="F58" s="225" t="s">
        <v>43</v>
      </c>
      <c r="G58" s="177"/>
      <c r="H58" s="184"/>
      <c r="I58" s="188">
        <f t="shared" si="4"/>
        <v>1</v>
      </c>
      <c r="J58" s="189">
        <f t="shared" si="5"/>
        <v>0</v>
      </c>
      <c r="K58" s="181">
        <f t="shared" si="0"/>
        <v>0</v>
      </c>
      <c r="L58" s="38"/>
    </row>
    <row r="59" spans="2:12" ht="33" customHeight="1" x14ac:dyDescent="0.3">
      <c r="B59" s="260" t="str">
        <f t="shared" si="3"/>
        <v>IStaff</v>
      </c>
      <c r="C59" s="260">
        <f>IF(ISTEXT(D59),MAX($C$4:$C58)+1,"")</f>
        <v>53</v>
      </c>
      <c r="D59" s="261" t="s">
        <v>11</v>
      </c>
      <c r="E59" s="355" t="s">
        <v>1036</v>
      </c>
      <c r="F59" s="225" t="s">
        <v>43</v>
      </c>
      <c r="G59" s="177"/>
      <c r="H59" s="184"/>
      <c r="I59" s="188">
        <f t="shared" si="4"/>
        <v>1</v>
      </c>
      <c r="J59" s="189">
        <f t="shared" si="5"/>
        <v>0</v>
      </c>
      <c r="K59" s="181">
        <f t="shared" si="0"/>
        <v>0</v>
      </c>
      <c r="L59" s="38"/>
    </row>
    <row r="60" spans="2:12" ht="30" customHeight="1" x14ac:dyDescent="0.3">
      <c r="B60" s="260" t="str">
        <f t="shared" si="3"/>
        <v>IStaff</v>
      </c>
      <c r="C60" s="260">
        <f>IF(ISTEXT(D60),MAX($C$4:$C59)+1,"")</f>
        <v>54</v>
      </c>
      <c r="D60" s="261" t="s">
        <v>11</v>
      </c>
      <c r="E60" s="350" t="s">
        <v>1037</v>
      </c>
      <c r="F60" s="225" t="s">
        <v>43</v>
      </c>
      <c r="G60" s="177"/>
      <c r="H60" s="184"/>
      <c r="I60" s="188">
        <f t="shared" si="4"/>
        <v>1</v>
      </c>
      <c r="J60" s="189">
        <f t="shared" si="5"/>
        <v>0</v>
      </c>
      <c r="K60" s="181">
        <f t="shared" si="0"/>
        <v>0</v>
      </c>
      <c r="L60" s="38"/>
    </row>
    <row r="61" spans="2:12" ht="30" customHeight="1" x14ac:dyDescent="0.3">
      <c r="B61" s="351" t="str">
        <f t="shared" si="3"/>
        <v/>
      </c>
      <c r="C61" s="351" t="str">
        <f>IF(ISTEXT(D61),MAX($C$4:$C60)+1,"")</f>
        <v/>
      </c>
      <c r="D61" s="352"/>
      <c r="E61" s="353" t="s">
        <v>1038</v>
      </c>
      <c r="F61" s="115"/>
      <c r="G61" s="31"/>
      <c r="H61" s="31"/>
      <c r="I61" s="31"/>
      <c r="J61" s="31"/>
      <c r="K61" s="181"/>
      <c r="L61" s="31"/>
    </row>
    <row r="62" spans="2:12" ht="30" customHeight="1" x14ac:dyDescent="0.3">
      <c r="B62" s="260" t="str">
        <f t="shared" si="3"/>
        <v>IStaff</v>
      </c>
      <c r="C62" s="260">
        <f>IF(ISTEXT(D62),MAX($C$4:$C61)+1,"")</f>
        <v>55</v>
      </c>
      <c r="D62" s="261" t="s">
        <v>11</v>
      </c>
      <c r="E62" s="354" t="s">
        <v>534</v>
      </c>
      <c r="F62" s="225" t="s">
        <v>43</v>
      </c>
      <c r="G62" s="177"/>
      <c r="H62" s="184"/>
      <c r="I62" s="188">
        <f t="shared" ref="I62:I68" si="6">VLOOKUP($D62,SpecData,2,FALSE)</f>
        <v>1</v>
      </c>
      <c r="J62" s="189">
        <f t="shared" ref="J62:J68" si="7">VLOOKUP($F62,AvailabilityData,2,FALSE)</f>
        <v>0</v>
      </c>
      <c r="K62" s="181">
        <f t="shared" si="0"/>
        <v>0</v>
      </c>
      <c r="L62" s="38"/>
    </row>
    <row r="63" spans="2:12" ht="30" customHeight="1" x14ac:dyDescent="0.3">
      <c r="B63" s="260" t="str">
        <f t="shared" si="3"/>
        <v>IStaff</v>
      </c>
      <c r="C63" s="260">
        <f>IF(ISTEXT(D63),MAX($C$4:$C62)+1,"")</f>
        <v>56</v>
      </c>
      <c r="D63" s="261" t="s">
        <v>11</v>
      </c>
      <c r="E63" s="355" t="s">
        <v>1039</v>
      </c>
      <c r="F63" s="225" t="s">
        <v>43</v>
      </c>
      <c r="G63" s="177"/>
      <c r="H63" s="184"/>
      <c r="I63" s="188">
        <f t="shared" si="6"/>
        <v>1</v>
      </c>
      <c r="J63" s="189">
        <f t="shared" si="7"/>
        <v>0</v>
      </c>
      <c r="K63" s="181">
        <f t="shared" si="0"/>
        <v>0</v>
      </c>
      <c r="L63" s="38"/>
    </row>
    <row r="64" spans="2:12" ht="30" customHeight="1" x14ac:dyDescent="0.3">
      <c r="B64" s="260" t="str">
        <f t="shared" si="3"/>
        <v>IStaff</v>
      </c>
      <c r="C64" s="260">
        <f>IF(ISTEXT(D64),MAX($C$4:$C63)+1,"")</f>
        <v>57</v>
      </c>
      <c r="D64" s="261" t="s">
        <v>11</v>
      </c>
      <c r="E64" s="355" t="s">
        <v>362</v>
      </c>
      <c r="F64" s="225" t="s">
        <v>43</v>
      </c>
      <c r="G64" s="177"/>
      <c r="H64" s="184"/>
      <c r="I64" s="188">
        <f t="shared" si="6"/>
        <v>1</v>
      </c>
      <c r="J64" s="189">
        <f t="shared" si="7"/>
        <v>0</v>
      </c>
      <c r="K64" s="181">
        <f t="shared" si="0"/>
        <v>0</v>
      </c>
      <c r="L64" s="38"/>
    </row>
    <row r="65" spans="2:12" ht="30" customHeight="1" x14ac:dyDescent="0.3">
      <c r="B65" s="260" t="str">
        <f t="shared" si="3"/>
        <v>IStaff</v>
      </c>
      <c r="C65" s="260">
        <f>IF(ISTEXT(D65),MAX($C$4:$C64)+1,"")</f>
        <v>58</v>
      </c>
      <c r="D65" s="261" t="s">
        <v>11</v>
      </c>
      <c r="E65" s="355" t="s">
        <v>1040</v>
      </c>
      <c r="F65" s="225" t="s">
        <v>43</v>
      </c>
      <c r="G65" s="177"/>
      <c r="H65" s="184"/>
      <c r="I65" s="188">
        <f t="shared" si="6"/>
        <v>1</v>
      </c>
      <c r="J65" s="189">
        <f t="shared" si="7"/>
        <v>0</v>
      </c>
      <c r="K65" s="181">
        <f t="shared" si="0"/>
        <v>0</v>
      </c>
      <c r="L65" s="38"/>
    </row>
    <row r="66" spans="2:12" ht="30" customHeight="1" x14ac:dyDescent="0.3">
      <c r="B66" s="260" t="str">
        <f t="shared" si="3"/>
        <v>IStaff</v>
      </c>
      <c r="C66" s="260">
        <f>IF(ISTEXT(D66),MAX($C$4:$C65)+1,"")</f>
        <v>59</v>
      </c>
      <c r="D66" s="261" t="s">
        <v>11</v>
      </c>
      <c r="E66" s="355" t="s">
        <v>1041</v>
      </c>
      <c r="F66" s="225" t="s">
        <v>43</v>
      </c>
      <c r="G66" s="177"/>
      <c r="H66" s="184"/>
      <c r="I66" s="188">
        <f t="shared" si="6"/>
        <v>1</v>
      </c>
      <c r="J66" s="189">
        <f t="shared" si="7"/>
        <v>0</v>
      </c>
      <c r="K66" s="181">
        <f t="shared" si="0"/>
        <v>0</v>
      </c>
      <c r="L66" s="38"/>
    </row>
    <row r="67" spans="2:12" ht="30" customHeight="1" x14ac:dyDescent="0.3">
      <c r="B67" s="260" t="str">
        <f t="shared" si="3"/>
        <v>IStaff</v>
      </c>
      <c r="C67" s="260">
        <f>IF(ISTEXT(D67),MAX($C$4:$C66)+1,"")</f>
        <v>60</v>
      </c>
      <c r="D67" s="261" t="s">
        <v>11</v>
      </c>
      <c r="E67" s="355" t="s">
        <v>1042</v>
      </c>
      <c r="F67" s="225" t="s">
        <v>43</v>
      </c>
      <c r="G67" s="177"/>
      <c r="H67" s="184"/>
      <c r="I67" s="188">
        <f t="shared" si="6"/>
        <v>1</v>
      </c>
      <c r="J67" s="189">
        <f t="shared" si="7"/>
        <v>0</v>
      </c>
      <c r="K67" s="181">
        <f t="shared" si="0"/>
        <v>0</v>
      </c>
      <c r="L67" s="38"/>
    </row>
    <row r="68" spans="2:12" ht="30" customHeight="1" x14ac:dyDescent="0.3">
      <c r="B68" s="260" t="str">
        <f t="shared" si="3"/>
        <v>IStaff</v>
      </c>
      <c r="C68" s="260">
        <f>IF(ISTEXT(D68),MAX($C$4:$C67)+1,"")</f>
        <v>61</v>
      </c>
      <c r="D68" s="261" t="s">
        <v>11</v>
      </c>
      <c r="E68" s="355" t="s">
        <v>1043</v>
      </c>
      <c r="F68" s="225" t="s">
        <v>43</v>
      </c>
      <c r="G68" s="177"/>
      <c r="H68" s="184"/>
      <c r="I68" s="188">
        <f t="shared" si="6"/>
        <v>1</v>
      </c>
      <c r="J68" s="189">
        <f t="shared" si="7"/>
        <v>0</v>
      </c>
      <c r="K68" s="181">
        <f t="shared" si="0"/>
        <v>0</v>
      </c>
      <c r="L68" s="38"/>
    </row>
    <row r="69" spans="2:12" ht="30" customHeight="1" x14ac:dyDescent="0.3">
      <c r="B69" s="260" t="str">
        <f t="shared" si="3"/>
        <v>IStaff</v>
      </c>
      <c r="C69" s="260">
        <f>IF(ISTEXT(D69),MAX($C$4:$C68)+1,"")</f>
        <v>62</v>
      </c>
      <c r="D69" s="261" t="s">
        <v>11</v>
      </c>
      <c r="E69" s="357" t="s">
        <v>1044</v>
      </c>
      <c r="F69" s="225" t="s">
        <v>43</v>
      </c>
      <c r="G69" s="177"/>
      <c r="H69" s="184"/>
      <c r="I69" s="188">
        <f t="shared" si="1"/>
        <v>1</v>
      </c>
      <c r="J69" s="189">
        <f t="shared" si="2"/>
        <v>0</v>
      </c>
      <c r="K69" s="181">
        <f t="shared" ref="K69:K132" si="8">I69*J69</f>
        <v>0</v>
      </c>
      <c r="L69" s="38"/>
    </row>
    <row r="70" spans="2:12" ht="30" customHeight="1" x14ac:dyDescent="0.3">
      <c r="B70" s="260" t="str">
        <f t="shared" si="3"/>
        <v>IStaff</v>
      </c>
      <c r="C70" s="260">
        <f>IF(ISTEXT(D70),MAX($C$4:$C69)+1,"")</f>
        <v>63</v>
      </c>
      <c r="D70" s="261" t="s">
        <v>11</v>
      </c>
      <c r="E70" s="349" t="s">
        <v>1045</v>
      </c>
      <c r="F70" s="225" t="s">
        <v>43</v>
      </c>
      <c r="G70" s="177"/>
      <c r="H70" s="184"/>
      <c r="I70" s="188">
        <f t="shared" ref="I70:I84" si="9">VLOOKUP($D70,SpecData,2,FALSE)</f>
        <v>1</v>
      </c>
      <c r="J70" s="189">
        <f t="shared" ref="J70:J84" si="10">VLOOKUP($F70,AvailabilityData,2,FALSE)</f>
        <v>0</v>
      </c>
      <c r="K70" s="181">
        <f t="shared" si="8"/>
        <v>0</v>
      </c>
      <c r="L70" s="38"/>
    </row>
    <row r="71" spans="2:12" ht="34.950000000000003" customHeight="1" x14ac:dyDescent="0.3">
      <c r="B71" s="260" t="str">
        <f t="shared" ref="B71:B134" si="11">IF(C71="","",$B$4)</f>
        <v>IStaff</v>
      </c>
      <c r="C71" s="260">
        <f>IF(ISTEXT(D71),MAX($C$4:$C70)+1,"")</f>
        <v>64</v>
      </c>
      <c r="D71" s="261" t="s">
        <v>11</v>
      </c>
      <c r="E71" s="349" t="s">
        <v>1046</v>
      </c>
      <c r="F71" s="225" t="s">
        <v>43</v>
      </c>
      <c r="G71" s="177"/>
      <c r="H71" s="184"/>
      <c r="I71" s="188">
        <f t="shared" si="9"/>
        <v>1</v>
      </c>
      <c r="J71" s="189">
        <f t="shared" si="10"/>
        <v>0</v>
      </c>
      <c r="K71" s="181">
        <f t="shared" si="8"/>
        <v>0</v>
      </c>
      <c r="L71" s="38"/>
    </row>
    <row r="72" spans="2:12" ht="34.950000000000003" customHeight="1" x14ac:dyDescent="0.3">
      <c r="B72" s="260" t="str">
        <f t="shared" si="11"/>
        <v>IStaff</v>
      </c>
      <c r="C72" s="260">
        <f>IF(ISTEXT(D72),MAX($C$4:$C71)+1,"")</f>
        <v>65</v>
      </c>
      <c r="D72" s="261" t="s">
        <v>11</v>
      </c>
      <c r="E72" s="350" t="s">
        <v>1047</v>
      </c>
      <c r="F72" s="225" t="s">
        <v>43</v>
      </c>
      <c r="G72" s="177"/>
      <c r="H72" s="184"/>
      <c r="I72" s="188">
        <f t="shared" si="9"/>
        <v>1</v>
      </c>
      <c r="J72" s="189">
        <f t="shared" si="10"/>
        <v>0</v>
      </c>
      <c r="K72" s="181">
        <f t="shared" si="8"/>
        <v>0</v>
      </c>
      <c r="L72" s="38"/>
    </row>
    <row r="73" spans="2:12" ht="34.950000000000003" customHeight="1" x14ac:dyDescent="0.3">
      <c r="B73" s="260" t="str">
        <f t="shared" si="11"/>
        <v>IStaff</v>
      </c>
      <c r="C73" s="260">
        <f>IF(ISTEXT(D73),MAX($C$4:$C72)+1,"")</f>
        <v>66</v>
      </c>
      <c r="D73" s="261" t="s">
        <v>11</v>
      </c>
      <c r="E73" s="350" t="s">
        <v>1048</v>
      </c>
      <c r="F73" s="225" t="s">
        <v>43</v>
      </c>
      <c r="G73" s="177"/>
      <c r="H73" s="184"/>
      <c r="I73" s="188">
        <f t="shared" si="9"/>
        <v>1</v>
      </c>
      <c r="J73" s="189">
        <f t="shared" si="10"/>
        <v>0</v>
      </c>
      <c r="K73" s="181">
        <f t="shared" si="8"/>
        <v>0</v>
      </c>
      <c r="L73" s="38"/>
    </row>
    <row r="74" spans="2:12" ht="34.950000000000003" customHeight="1" x14ac:dyDescent="0.3">
      <c r="B74" s="260" t="str">
        <f t="shared" si="11"/>
        <v>IStaff</v>
      </c>
      <c r="C74" s="260">
        <f>IF(ISTEXT(D74),MAX($C$4:$C73)+1,"")</f>
        <v>67</v>
      </c>
      <c r="D74" s="261" t="s">
        <v>11</v>
      </c>
      <c r="E74" s="350" t="s">
        <v>1049</v>
      </c>
      <c r="F74" s="225" t="s">
        <v>43</v>
      </c>
      <c r="G74" s="177"/>
      <c r="H74" s="184"/>
      <c r="I74" s="188">
        <f t="shared" si="9"/>
        <v>1</v>
      </c>
      <c r="J74" s="189">
        <f t="shared" si="10"/>
        <v>0</v>
      </c>
      <c r="K74" s="181">
        <f t="shared" si="8"/>
        <v>0</v>
      </c>
      <c r="L74" s="38"/>
    </row>
    <row r="75" spans="2:12" ht="34.950000000000003" customHeight="1" x14ac:dyDescent="0.3">
      <c r="B75" s="260" t="str">
        <f t="shared" si="11"/>
        <v>IStaff</v>
      </c>
      <c r="C75" s="260">
        <f>IF(ISTEXT(D75),MAX($C$4:$C74)+1,"")</f>
        <v>68</v>
      </c>
      <c r="D75" s="261" t="s">
        <v>11</v>
      </c>
      <c r="E75" s="350" t="s">
        <v>1050</v>
      </c>
      <c r="F75" s="225" t="s">
        <v>43</v>
      </c>
      <c r="G75" s="177"/>
      <c r="H75" s="184"/>
      <c r="I75" s="188">
        <f t="shared" si="9"/>
        <v>1</v>
      </c>
      <c r="J75" s="189">
        <f t="shared" si="10"/>
        <v>0</v>
      </c>
      <c r="K75" s="181">
        <f t="shared" si="8"/>
        <v>0</v>
      </c>
      <c r="L75" s="38"/>
    </row>
    <row r="76" spans="2:12" ht="34.950000000000003" customHeight="1" x14ac:dyDescent="0.3">
      <c r="B76" s="260" t="str">
        <f t="shared" si="11"/>
        <v>IStaff</v>
      </c>
      <c r="C76" s="260">
        <f>IF(ISTEXT(D76),MAX($C$4:$C75)+1,"")</f>
        <v>69</v>
      </c>
      <c r="D76" s="261" t="s">
        <v>11</v>
      </c>
      <c r="E76" s="350" t="s">
        <v>1051</v>
      </c>
      <c r="F76" s="225" t="s">
        <v>43</v>
      </c>
      <c r="G76" s="177"/>
      <c r="H76" s="184"/>
      <c r="I76" s="188">
        <f t="shared" si="9"/>
        <v>1</v>
      </c>
      <c r="J76" s="189">
        <f t="shared" si="10"/>
        <v>0</v>
      </c>
      <c r="K76" s="181">
        <f t="shared" si="8"/>
        <v>0</v>
      </c>
      <c r="L76" s="38"/>
    </row>
    <row r="77" spans="2:12" ht="34.950000000000003" customHeight="1" x14ac:dyDescent="0.3">
      <c r="B77" s="260" t="str">
        <f t="shared" si="11"/>
        <v>IStaff</v>
      </c>
      <c r="C77" s="260">
        <f>IF(ISTEXT(D77),MAX($C$4:$C76)+1,"")</f>
        <v>70</v>
      </c>
      <c r="D77" s="261" t="s">
        <v>11</v>
      </c>
      <c r="E77" s="350" t="s">
        <v>1052</v>
      </c>
      <c r="F77" s="225" t="s">
        <v>43</v>
      </c>
      <c r="G77" s="177"/>
      <c r="H77" s="184"/>
      <c r="I77" s="188">
        <f t="shared" si="9"/>
        <v>1</v>
      </c>
      <c r="J77" s="189">
        <f t="shared" si="10"/>
        <v>0</v>
      </c>
      <c r="K77" s="181">
        <f t="shared" si="8"/>
        <v>0</v>
      </c>
      <c r="L77" s="38"/>
    </row>
    <row r="78" spans="2:12" ht="34.950000000000003" customHeight="1" x14ac:dyDescent="0.3">
      <c r="B78" s="260" t="str">
        <f t="shared" si="11"/>
        <v>IStaff</v>
      </c>
      <c r="C78" s="260">
        <f>IF(ISTEXT(D78),MAX($C$4:$C77)+1,"")</f>
        <v>71</v>
      </c>
      <c r="D78" s="261" t="s">
        <v>11</v>
      </c>
      <c r="E78" s="350" t="s">
        <v>1053</v>
      </c>
      <c r="F78" s="225" t="s">
        <v>43</v>
      </c>
      <c r="G78" s="177"/>
      <c r="H78" s="184"/>
      <c r="I78" s="188">
        <f t="shared" si="9"/>
        <v>1</v>
      </c>
      <c r="J78" s="189">
        <f t="shared" si="10"/>
        <v>0</v>
      </c>
      <c r="K78" s="181">
        <f t="shared" si="8"/>
        <v>0</v>
      </c>
      <c r="L78" s="38"/>
    </row>
    <row r="79" spans="2:12" ht="33.6" customHeight="1" x14ac:dyDescent="0.3">
      <c r="B79" s="260" t="str">
        <f t="shared" si="11"/>
        <v>IStaff</v>
      </c>
      <c r="C79" s="260">
        <f>IF(ISTEXT(D79),MAX($C$4:$C78)+1,"")</f>
        <v>72</v>
      </c>
      <c r="D79" s="261" t="s">
        <v>11</v>
      </c>
      <c r="E79" s="350" t="s">
        <v>1054</v>
      </c>
      <c r="F79" s="225" t="s">
        <v>43</v>
      </c>
      <c r="G79" s="177"/>
      <c r="H79" s="184"/>
      <c r="I79" s="188">
        <f t="shared" si="9"/>
        <v>1</v>
      </c>
      <c r="J79" s="189">
        <f t="shared" si="10"/>
        <v>0</v>
      </c>
      <c r="K79" s="181">
        <f t="shared" si="8"/>
        <v>0</v>
      </c>
      <c r="L79" s="38"/>
    </row>
    <row r="80" spans="2:12" ht="30" customHeight="1" x14ac:dyDescent="0.3">
      <c r="B80" s="260" t="str">
        <f t="shared" si="11"/>
        <v>IStaff</v>
      </c>
      <c r="C80" s="260">
        <f>IF(ISTEXT(D80),MAX($C$4:$C79)+1,"")</f>
        <v>73</v>
      </c>
      <c r="D80" s="261" t="s">
        <v>11</v>
      </c>
      <c r="E80" s="350" t="s">
        <v>1055</v>
      </c>
      <c r="F80" s="225" t="s">
        <v>43</v>
      </c>
      <c r="G80" s="177"/>
      <c r="H80" s="184"/>
      <c r="I80" s="188">
        <f t="shared" si="9"/>
        <v>1</v>
      </c>
      <c r="J80" s="189">
        <f t="shared" si="10"/>
        <v>0</v>
      </c>
      <c r="K80" s="181">
        <f t="shared" si="8"/>
        <v>0</v>
      </c>
      <c r="L80" s="38"/>
    </row>
    <row r="81" spans="2:12" ht="45" x14ac:dyDescent="0.3">
      <c r="B81" s="260" t="str">
        <f t="shared" si="11"/>
        <v>IStaff</v>
      </c>
      <c r="C81" s="260">
        <f>IF(ISTEXT(D81),MAX($C$4:$C80)+1,"")</f>
        <v>74</v>
      </c>
      <c r="D81" s="261" t="s">
        <v>11</v>
      </c>
      <c r="E81" s="350" t="s">
        <v>1056</v>
      </c>
      <c r="F81" s="225" t="s">
        <v>43</v>
      </c>
      <c r="G81" s="177"/>
      <c r="H81" s="184"/>
      <c r="I81" s="188">
        <f t="shared" si="9"/>
        <v>1</v>
      </c>
      <c r="J81" s="189">
        <f t="shared" si="10"/>
        <v>0</v>
      </c>
      <c r="K81" s="181">
        <f t="shared" si="8"/>
        <v>0</v>
      </c>
      <c r="L81" s="38"/>
    </row>
    <row r="82" spans="2:12" ht="33.6" customHeight="1" x14ac:dyDescent="0.3">
      <c r="B82" s="260" t="str">
        <f t="shared" si="11"/>
        <v>IStaff</v>
      </c>
      <c r="C82" s="260">
        <f>IF(ISTEXT(D82),MAX($C$4:$C81)+1,"")</f>
        <v>75</v>
      </c>
      <c r="D82" s="261" t="s">
        <v>11</v>
      </c>
      <c r="E82" s="350" t="s">
        <v>1057</v>
      </c>
      <c r="F82" s="225" t="s">
        <v>43</v>
      </c>
      <c r="G82" s="177"/>
      <c r="H82" s="184"/>
      <c r="I82" s="188">
        <f t="shared" si="9"/>
        <v>1</v>
      </c>
      <c r="J82" s="189">
        <f t="shared" si="10"/>
        <v>0</v>
      </c>
      <c r="K82" s="181">
        <f t="shared" si="8"/>
        <v>0</v>
      </c>
      <c r="L82" s="38"/>
    </row>
    <row r="83" spans="2:12" ht="30" customHeight="1" x14ac:dyDescent="0.3">
      <c r="B83" s="260" t="str">
        <f t="shared" si="11"/>
        <v>IStaff</v>
      </c>
      <c r="C83" s="260">
        <f>IF(ISTEXT(D83),MAX($C$4:$C82)+1,"")</f>
        <v>76</v>
      </c>
      <c r="D83" s="261" t="s">
        <v>11</v>
      </c>
      <c r="E83" s="350" t="s">
        <v>1058</v>
      </c>
      <c r="F83" s="225" t="s">
        <v>43</v>
      </c>
      <c r="G83" s="177"/>
      <c r="H83" s="184"/>
      <c r="I83" s="188">
        <f t="shared" si="9"/>
        <v>1</v>
      </c>
      <c r="J83" s="189">
        <f t="shared" si="10"/>
        <v>0</v>
      </c>
      <c r="K83" s="181">
        <f t="shared" si="8"/>
        <v>0</v>
      </c>
      <c r="L83" s="38"/>
    </row>
    <row r="84" spans="2:12" ht="35.700000000000003" customHeight="1" x14ac:dyDescent="0.3">
      <c r="B84" s="260" t="str">
        <f t="shared" si="11"/>
        <v>IStaff</v>
      </c>
      <c r="C84" s="260">
        <f>IF(ISTEXT(D84),MAX($C$4:$C83)+1,"")</f>
        <v>77</v>
      </c>
      <c r="D84" s="261" t="s">
        <v>11</v>
      </c>
      <c r="E84" s="350" t="s">
        <v>1059</v>
      </c>
      <c r="F84" s="225" t="s">
        <v>43</v>
      </c>
      <c r="G84" s="177"/>
      <c r="H84" s="184"/>
      <c r="I84" s="188">
        <f t="shared" si="9"/>
        <v>1</v>
      </c>
      <c r="J84" s="189">
        <f t="shared" si="10"/>
        <v>0</v>
      </c>
      <c r="K84" s="181">
        <f t="shared" si="8"/>
        <v>0</v>
      </c>
      <c r="L84" s="38"/>
    </row>
    <row r="85" spans="2:12" ht="30" customHeight="1" x14ac:dyDescent="0.3">
      <c r="B85" s="351" t="str">
        <f t="shared" si="11"/>
        <v/>
      </c>
      <c r="C85" s="351" t="str">
        <f>IF(ISTEXT(D85),MAX($C$4:$C84)+1,"")</f>
        <v/>
      </c>
      <c r="D85" s="352"/>
      <c r="E85" s="353" t="s">
        <v>1060</v>
      </c>
      <c r="F85" s="115"/>
      <c r="G85" s="31"/>
      <c r="H85" s="31"/>
      <c r="I85" s="31"/>
      <c r="J85" s="31"/>
      <c r="K85" s="181"/>
      <c r="L85" s="31"/>
    </row>
    <row r="86" spans="2:12" ht="30" customHeight="1" x14ac:dyDescent="0.3">
      <c r="B86" s="260" t="str">
        <f t="shared" si="11"/>
        <v>IStaff</v>
      </c>
      <c r="C86" s="260">
        <f>IF(ISTEXT(D86),MAX($C$4:$C85)+1,"")</f>
        <v>78</v>
      </c>
      <c r="D86" s="261" t="s">
        <v>11</v>
      </c>
      <c r="E86" s="358" t="s">
        <v>1061</v>
      </c>
      <c r="F86" s="225" t="s">
        <v>43</v>
      </c>
      <c r="G86" s="177"/>
      <c r="H86" s="184"/>
      <c r="I86" s="188">
        <f t="shared" ref="I86:I91" si="12">VLOOKUP($D86,SpecData,2,FALSE)</f>
        <v>1</v>
      </c>
      <c r="J86" s="189">
        <f t="shared" ref="J86:J91" si="13">VLOOKUP($F86,AvailabilityData,2,FALSE)</f>
        <v>0</v>
      </c>
      <c r="K86" s="181">
        <f t="shared" si="8"/>
        <v>0</v>
      </c>
      <c r="L86" s="38"/>
    </row>
    <row r="87" spans="2:12" ht="30" customHeight="1" x14ac:dyDescent="0.3">
      <c r="B87" s="260" t="str">
        <f t="shared" si="11"/>
        <v>IStaff</v>
      </c>
      <c r="C87" s="260">
        <f>IF(ISTEXT(D87),MAX($C$4:$C86)+1,"")</f>
        <v>79</v>
      </c>
      <c r="D87" s="261" t="s">
        <v>11</v>
      </c>
      <c r="E87" s="356" t="s">
        <v>1062</v>
      </c>
      <c r="F87" s="225" t="s">
        <v>43</v>
      </c>
      <c r="G87" s="177"/>
      <c r="H87" s="184"/>
      <c r="I87" s="188">
        <f t="shared" si="12"/>
        <v>1</v>
      </c>
      <c r="J87" s="189">
        <f t="shared" si="13"/>
        <v>0</v>
      </c>
      <c r="K87" s="181">
        <f t="shared" si="8"/>
        <v>0</v>
      </c>
      <c r="L87" s="38"/>
    </row>
    <row r="88" spans="2:12" ht="30" customHeight="1" x14ac:dyDescent="0.3">
      <c r="B88" s="260" t="str">
        <f t="shared" si="11"/>
        <v>IStaff</v>
      </c>
      <c r="C88" s="260">
        <f>IF(ISTEXT(D88),MAX($C$4:$C87)+1,"")</f>
        <v>80</v>
      </c>
      <c r="D88" s="261" t="s">
        <v>11</v>
      </c>
      <c r="E88" s="356" t="s">
        <v>1019</v>
      </c>
      <c r="F88" s="225" t="s">
        <v>43</v>
      </c>
      <c r="G88" s="177"/>
      <c r="H88" s="184"/>
      <c r="I88" s="188">
        <f t="shared" si="12"/>
        <v>1</v>
      </c>
      <c r="J88" s="189">
        <f t="shared" si="13"/>
        <v>0</v>
      </c>
      <c r="K88" s="181">
        <f t="shared" si="8"/>
        <v>0</v>
      </c>
      <c r="L88" s="38"/>
    </row>
    <row r="89" spans="2:12" ht="30" customHeight="1" x14ac:dyDescent="0.3">
      <c r="B89" s="260" t="str">
        <f t="shared" si="11"/>
        <v>IStaff</v>
      </c>
      <c r="C89" s="260">
        <f>IF(ISTEXT(D89),MAX($C$4:$C88)+1,"")</f>
        <v>81</v>
      </c>
      <c r="D89" s="261" t="s">
        <v>11</v>
      </c>
      <c r="E89" s="356" t="s">
        <v>1063</v>
      </c>
      <c r="F89" s="225" t="s">
        <v>43</v>
      </c>
      <c r="G89" s="177"/>
      <c r="H89" s="184"/>
      <c r="I89" s="188">
        <f t="shared" si="12"/>
        <v>1</v>
      </c>
      <c r="J89" s="189">
        <f t="shared" si="13"/>
        <v>0</v>
      </c>
      <c r="K89" s="181">
        <f t="shared" si="8"/>
        <v>0</v>
      </c>
      <c r="L89" s="38"/>
    </row>
    <row r="90" spans="2:12" ht="30" customHeight="1" x14ac:dyDescent="0.3">
      <c r="B90" s="260" t="str">
        <f t="shared" si="11"/>
        <v>IStaff</v>
      </c>
      <c r="C90" s="260">
        <f>IF(ISTEXT(D90),MAX($C$4:$C89)+1,"")</f>
        <v>82</v>
      </c>
      <c r="D90" s="261" t="s">
        <v>11</v>
      </c>
      <c r="E90" s="356" t="s">
        <v>1064</v>
      </c>
      <c r="F90" s="225" t="s">
        <v>43</v>
      </c>
      <c r="G90" s="177"/>
      <c r="H90" s="184"/>
      <c r="I90" s="188">
        <f t="shared" si="12"/>
        <v>1</v>
      </c>
      <c r="J90" s="189">
        <f t="shared" si="13"/>
        <v>0</v>
      </c>
      <c r="K90" s="181">
        <f t="shared" si="8"/>
        <v>0</v>
      </c>
      <c r="L90" s="38"/>
    </row>
    <row r="91" spans="2:12" ht="30" customHeight="1" x14ac:dyDescent="0.3">
      <c r="B91" s="260" t="str">
        <f t="shared" si="11"/>
        <v>IStaff</v>
      </c>
      <c r="C91" s="260">
        <f>IF(ISTEXT(D91),MAX($C$4:$C90)+1,"")</f>
        <v>83</v>
      </c>
      <c r="D91" s="261" t="s">
        <v>11</v>
      </c>
      <c r="E91" s="359" t="s">
        <v>1065</v>
      </c>
      <c r="F91" s="225" t="s">
        <v>43</v>
      </c>
      <c r="G91" s="177"/>
      <c r="H91" s="184"/>
      <c r="I91" s="188">
        <f t="shared" si="12"/>
        <v>1</v>
      </c>
      <c r="J91" s="189">
        <f t="shared" si="13"/>
        <v>0</v>
      </c>
      <c r="K91" s="181">
        <f t="shared" si="8"/>
        <v>0</v>
      </c>
      <c r="L91" s="38"/>
    </row>
    <row r="92" spans="2:12" ht="30" customHeight="1" x14ac:dyDescent="0.3">
      <c r="B92" s="351" t="str">
        <f t="shared" si="11"/>
        <v/>
      </c>
      <c r="C92" s="351" t="str">
        <f>IF(ISTEXT(D92),MAX($C$4:$C91)+1,"")</f>
        <v/>
      </c>
      <c r="D92" s="352"/>
      <c r="E92" s="353" t="s">
        <v>1066</v>
      </c>
      <c r="F92" s="115"/>
      <c r="G92" s="31"/>
      <c r="H92" s="31"/>
      <c r="I92" s="31"/>
      <c r="J92" s="31"/>
      <c r="K92" s="181"/>
      <c r="L92" s="31"/>
    </row>
    <row r="93" spans="2:12" ht="30" customHeight="1" x14ac:dyDescent="0.3">
      <c r="B93" s="260" t="str">
        <f t="shared" si="11"/>
        <v>IStaff</v>
      </c>
      <c r="C93" s="260">
        <f>IF(ISTEXT(D93),MAX($C$4:$C92)+1,"")</f>
        <v>84</v>
      </c>
      <c r="D93" s="261" t="s">
        <v>11</v>
      </c>
      <c r="E93" s="354" t="s">
        <v>1067</v>
      </c>
      <c r="F93" s="225" t="s">
        <v>43</v>
      </c>
      <c r="G93" s="177"/>
      <c r="H93" s="184"/>
      <c r="I93" s="188">
        <f>VLOOKUP($D93,SpecData,2,FALSE)</f>
        <v>1</v>
      </c>
      <c r="J93" s="189">
        <f>VLOOKUP($F93,AvailabilityData,2,FALSE)</f>
        <v>0</v>
      </c>
      <c r="K93" s="181">
        <f t="shared" si="8"/>
        <v>0</v>
      </c>
      <c r="L93" s="38"/>
    </row>
    <row r="94" spans="2:12" ht="30" customHeight="1" x14ac:dyDescent="0.3">
      <c r="B94" s="260" t="str">
        <f t="shared" si="11"/>
        <v>IStaff</v>
      </c>
      <c r="C94" s="260">
        <f>IF(ISTEXT(D94),MAX($C$4:$C93)+1,"")</f>
        <v>85</v>
      </c>
      <c r="D94" s="261" t="s">
        <v>11</v>
      </c>
      <c r="E94" s="355" t="s">
        <v>1068</v>
      </c>
      <c r="F94" s="225" t="s">
        <v>43</v>
      </c>
      <c r="G94" s="177"/>
      <c r="H94" s="184"/>
      <c r="I94" s="188">
        <f>VLOOKUP($D94,SpecData,2,FALSE)</f>
        <v>1</v>
      </c>
      <c r="J94" s="189">
        <f>VLOOKUP($F94,AvailabilityData,2,FALSE)</f>
        <v>0</v>
      </c>
      <c r="K94" s="181">
        <f t="shared" si="8"/>
        <v>0</v>
      </c>
      <c r="L94" s="38"/>
    </row>
    <row r="95" spans="2:12" ht="49.95" customHeight="1" x14ac:dyDescent="0.3">
      <c r="B95" s="260" t="str">
        <f t="shared" si="11"/>
        <v>IStaff</v>
      </c>
      <c r="C95" s="260">
        <f>IF(ISTEXT(D95),MAX($C$4:$C94)+1,"")</f>
        <v>86</v>
      </c>
      <c r="D95" s="261" t="s">
        <v>11</v>
      </c>
      <c r="E95" s="360" t="s">
        <v>1069</v>
      </c>
      <c r="F95" s="225" t="s">
        <v>43</v>
      </c>
      <c r="G95" s="177"/>
      <c r="H95" s="184"/>
      <c r="I95" s="188">
        <f>VLOOKUP($D95,SpecData,2,FALSE)</f>
        <v>1</v>
      </c>
      <c r="J95" s="189">
        <f>VLOOKUP($F95,AvailabilityData,2,FALSE)</f>
        <v>0</v>
      </c>
      <c r="K95" s="181">
        <f t="shared" si="8"/>
        <v>0</v>
      </c>
      <c r="L95" s="38"/>
    </row>
    <row r="96" spans="2:12" ht="30" customHeight="1" x14ac:dyDescent="0.3">
      <c r="B96" s="351" t="str">
        <f t="shared" si="11"/>
        <v/>
      </c>
      <c r="C96" s="351" t="str">
        <f>IF(ISTEXT(D96),MAX($C$4:$C95)+1,"")</f>
        <v/>
      </c>
      <c r="D96" s="352"/>
      <c r="E96" s="353" t="s">
        <v>1070</v>
      </c>
      <c r="F96" s="115"/>
      <c r="G96" s="31"/>
      <c r="H96" s="31"/>
      <c r="I96" s="31"/>
      <c r="J96" s="31"/>
      <c r="K96" s="181"/>
      <c r="L96" s="31"/>
    </row>
    <row r="97" spans="2:12" ht="30" customHeight="1" x14ac:dyDescent="0.3">
      <c r="B97" s="260" t="str">
        <f t="shared" si="11"/>
        <v>IStaff</v>
      </c>
      <c r="C97" s="260">
        <f>IF(ISTEXT(D97),MAX($C$4:$C96)+1,"")</f>
        <v>87</v>
      </c>
      <c r="D97" s="261" t="s">
        <v>11</v>
      </c>
      <c r="E97" s="354" t="s">
        <v>1071</v>
      </c>
      <c r="F97" s="225" t="s">
        <v>43</v>
      </c>
      <c r="G97" s="177"/>
      <c r="H97" s="184"/>
      <c r="I97" s="188">
        <f t="shared" ref="I97:I106" si="14">VLOOKUP($D97,SpecData,2,FALSE)</f>
        <v>1</v>
      </c>
      <c r="J97" s="189">
        <f t="shared" ref="J97:J106" si="15">VLOOKUP($F97,AvailabilityData,2,FALSE)</f>
        <v>0</v>
      </c>
      <c r="K97" s="181">
        <f t="shared" si="8"/>
        <v>0</v>
      </c>
      <c r="L97" s="38"/>
    </row>
    <row r="98" spans="2:12" ht="30" customHeight="1" x14ac:dyDescent="0.3">
      <c r="B98" s="260" t="str">
        <f t="shared" si="11"/>
        <v>IStaff</v>
      </c>
      <c r="C98" s="260">
        <f>IF(ISTEXT(D98),MAX($C$4:$C97)+1,"")</f>
        <v>88</v>
      </c>
      <c r="D98" s="261" t="s">
        <v>11</v>
      </c>
      <c r="E98" s="355" t="s">
        <v>1072</v>
      </c>
      <c r="F98" s="225" t="s">
        <v>43</v>
      </c>
      <c r="G98" s="177"/>
      <c r="H98" s="184"/>
      <c r="I98" s="188">
        <f t="shared" si="14"/>
        <v>1</v>
      </c>
      <c r="J98" s="189">
        <f t="shared" si="15"/>
        <v>0</v>
      </c>
      <c r="K98" s="181">
        <f t="shared" si="8"/>
        <v>0</v>
      </c>
      <c r="L98" s="38"/>
    </row>
    <row r="99" spans="2:12" ht="30" customHeight="1" x14ac:dyDescent="0.3">
      <c r="B99" s="260" t="str">
        <f t="shared" si="11"/>
        <v>IStaff</v>
      </c>
      <c r="C99" s="260">
        <f>IF(ISTEXT(D99),MAX($C$4:$C98)+1,"")</f>
        <v>89</v>
      </c>
      <c r="D99" s="261" t="s">
        <v>11</v>
      </c>
      <c r="E99" s="355" t="s">
        <v>1073</v>
      </c>
      <c r="F99" s="225" t="s">
        <v>43</v>
      </c>
      <c r="G99" s="177"/>
      <c r="H99" s="184"/>
      <c r="I99" s="188">
        <f t="shared" si="14"/>
        <v>1</v>
      </c>
      <c r="J99" s="189">
        <f t="shared" si="15"/>
        <v>0</v>
      </c>
      <c r="K99" s="181">
        <f t="shared" si="8"/>
        <v>0</v>
      </c>
      <c r="L99" s="38"/>
    </row>
    <row r="100" spans="2:12" ht="30" customHeight="1" x14ac:dyDescent="0.3">
      <c r="B100" s="260" t="str">
        <f t="shared" si="11"/>
        <v>IStaff</v>
      </c>
      <c r="C100" s="260">
        <f>IF(ISTEXT(D100),MAX($C$4:$C99)+1,"")</f>
        <v>90</v>
      </c>
      <c r="D100" s="261" t="s">
        <v>11</v>
      </c>
      <c r="E100" s="355" t="s">
        <v>1074</v>
      </c>
      <c r="F100" s="225" t="s">
        <v>43</v>
      </c>
      <c r="G100" s="177"/>
      <c r="H100" s="184"/>
      <c r="I100" s="188">
        <f t="shared" si="14"/>
        <v>1</v>
      </c>
      <c r="J100" s="189">
        <f t="shared" si="15"/>
        <v>0</v>
      </c>
      <c r="K100" s="181">
        <f t="shared" si="8"/>
        <v>0</v>
      </c>
      <c r="L100" s="38"/>
    </row>
    <row r="101" spans="2:12" ht="30" customHeight="1" x14ac:dyDescent="0.3">
      <c r="B101" s="260" t="str">
        <f t="shared" si="11"/>
        <v>IStaff</v>
      </c>
      <c r="C101" s="260">
        <f>IF(ISTEXT(D101),MAX($C$4:$C100)+1,"")</f>
        <v>91</v>
      </c>
      <c r="D101" s="261" t="s">
        <v>11</v>
      </c>
      <c r="E101" s="355" t="s">
        <v>1075</v>
      </c>
      <c r="F101" s="225" t="s">
        <v>43</v>
      </c>
      <c r="G101" s="177"/>
      <c r="H101" s="184"/>
      <c r="I101" s="188">
        <f t="shared" si="14"/>
        <v>1</v>
      </c>
      <c r="J101" s="189">
        <f t="shared" si="15"/>
        <v>0</v>
      </c>
      <c r="K101" s="181">
        <f t="shared" si="8"/>
        <v>0</v>
      </c>
      <c r="L101" s="38"/>
    </row>
    <row r="102" spans="2:12" ht="30" customHeight="1" x14ac:dyDescent="0.3">
      <c r="B102" s="260" t="str">
        <f t="shared" si="11"/>
        <v>IStaff</v>
      </c>
      <c r="C102" s="260">
        <f>IF(ISTEXT(D102),MAX($C$4:$C101)+1,"")</f>
        <v>92</v>
      </c>
      <c r="D102" s="261" t="s">
        <v>11</v>
      </c>
      <c r="E102" s="355" t="s">
        <v>1076</v>
      </c>
      <c r="F102" s="225" t="s">
        <v>43</v>
      </c>
      <c r="G102" s="177"/>
      <c r="H102" s="184"/>
      <c r="I102" s="188">
        <f t="shared" si="14"/>
        <v>1</v>
      </c>
      <c r="J102" s="189">
        <f t="shared" si="15"/>
        <v>0</v>
      </c>
      <c r="K102" s="181">
        <f t="shared" si="8"/>
        <v>0</v>
      </c>
      <c r="L102" s="38"/>
    </row>
    <row r="103" spans="2:12" ht="30" customHeight="1" x14ac:dyDescent="0.3">
      <c r="B103" s="260" t="str">
        <f t="shared" si="11"/>
        <v>IStaff</v>
      </c>
      <c r="C103" s="260">
        <f>IF(ISTEXT(D103),MAX($C$4:$C102)+1,"")</f>
        <v>93</v>
      </c>
      <c r="D103" s="261" t="s">
        <v>11</v>
      </c>
      <c r="E103" s="355" t="s">
        <v>1077</v>
      </c>
      <c r="F103" s="225" t="s">
        <v>43</v>
      </c>
      <c r="G103" s="177"/>
      <c r="H103" s="184"/>
      <c r="I103" s="188">
        <f t="shared" si="14"/>
        <v>1</v>
      </c>
      <c r="J103" s="189">
        <f t="shared" si="15"/>
        <v>0</v>
      </c>
      <c r="K103" s="181">
        <f t="shared" si="8"/>
        <v>0</v>
      </c>
      <c r="L103" s="38"/>
    </row>
    <row r="104" spans="2:12" ht="30" customHeight="1" x14ac:dyDescent="0.3">
      <c r="B104" s="260" t="str">
        <f t="shared" si="11"/>
        <v>IStaff</v>
      </c>
      <c r="C104" s="260">
        <f>IF(ISTEXT(D104),MAX($C$4:$C103)+1,"")</f>
        <v>94</v>
      </c>
      <c r="D104" s="261" t="s">
        <v>11</v>
      </c>
      <c r="E104" s="355" t="s">
        <v>1078</v>
      </c>
      <c r="F104" s="225" t="s">
        <v>43</v>
      </c>
      <c r="G104" s="177"/>
      <c r="H104" s="184"/>
      <c r="I104" s="188">
        <f t="shared" si="14"/>
        <v>1</v>
      </c>
      <c r="J104" s="189">
        <f t="shared" si="15"/>
        <v>0</v>
      </c>
      <c r="K104" s="181">
        <f t="shared" si="8"/>
        <v>0</v>
      </c>
      <c r="L104" s="38"/>
    </row>
    <row r="105" spans="2:12" ht="30" customHeight="1" x14ac:dyDescent="0.3">
      <c r="B105" s="260" t="str">
        <f t="shared" si="11"/>
        <v>IStaff</v>
      </c>
      <c r="C105" s="260">
        <f>IF(ISTEXT(D105),MAX($C$4:$C104)+1,"")</f>
        <v>95</v>
      </c>
      <c r="D105" s="261" t="s">
        <v>11</v>
      </c>
      <c r="E105" s="357" t="s">
        <v>1079</v>
      </c>
      <c r="F105" s="225" t="s">
        <v>43</v>
      </c>
      <c r="G105" s="177"/>
      <c r="H105" s="184"/>
      <c r="I105" s="188">
        <f t="shared" si="14"/>
        <v>1</v>
      </c>
      <c r="J105" s="189">
        <f t="shared" si="15"/>
        <v>0</v>
      </c>
      <c r="K105" s="181">
        <f t="shared" si="8"/>
        <v>0</v>
      </c>
      <c r="L105" s="38"/>
    </row>
    <row r="106" spans="2:12" ht="30" customHeight="1" x14ac:dyDescent="0.3">
      <c r="B106" s="260" t="str">
        <f t="shared" si="11"/>
        <v>IStaff</v>
      </c>
      <c r="C106" s="260">
        <f>IF(ISTEXT(D106),MAX($C$4:$C105)+1,"")</f>
        <v>96</v>
      </c>
      <c r="D106" s="261" t="s">
        <v>11</v>
      </c>
      <c r="E106" s="357" t="s">
        <v>1080</v>
      </c>
      <c r="F106" s="225" t="s">
        <v>43</v>
      </c>
      <c r="G106" s="192"/>
      <c r="H106" s="193"/>
      <c r="I106" s="190">
        <f t="shared" si="14"/>
        <v>1</v>
      </c>
      <c r="J106" s="191">
        <f t="shared" si="15"/>
        <v>0</v>
      </c>
      <c r="K106" s="181">
        <f t="shared" si="8"/>
        <v>0</v>
      </c>
      <c r="L106" s="39"/>
    </row>
    <row r="107" spans="2:12" ht="15.6" x14ac:dyDescent="0.3">
      <c r="B107" s="321" t="s">
        <v>1081</v>
      </c>
      <c r="C107" s="321"/>
      <c r="D107" s="321"/>
      <c r="E107" s="361"/>
      <c r="F107" s="115"/>
      <c r="G107" s="76"/>
      <c r="H107" s="76"/>
      <c r="I107" s="76"/>
      <c r="J107" s="76"/>
      <c r="K107" s="181"/>
      <c r="L107" s="76"/>
    </row>
    <row r="108" spans="2:12" ht="36" customHeight="1" x14ac:dyDescent="0.3">
      <c r="B108" s="260" t="str">
        <f t="shared" si="11"/>
        <v>IStaff</v>
      </c>
      <c r="C108" s="260">
        <f>IF(ISTEXT(D108),MAX($C$4:$C106)+1,"")</f>
        <v>97</v>
      </c>
      <c r="D108" s="261" t="s">
        <v>11</v>
      </c>
      <c r="E108" s="362" t="s">
        <v>1082</v>
      </c>
      <c r="F108" s="225" t="s">
        <v>43</v>
      </c>
      <c r="G108" s="177"/>
      <c r="H108" s="184"/>
      <c r="I108" s="188">
        <f t="shared" ref="I108:I139" si="16">VLOOKUP($D108,SpecData,2,FALSE)</f>
        <v>1</v>
      </c>
      <c r="J108" s="189">
        <f t="shared" ref="J108:J139" si="17">VLOOKUP($F108,AvailabilityData,2,FALSE)</f>
        <v>0</v>
      </c>
      <c r="K108" s="181">
        <f t="shared" si="8"/>
        <v>0</v>
      </c>
      <c r="L108" s="38"/>
    </row>
    <row r="109" spans="2:12" ht="36" customHeight="1" x14ac:dyDescent="0.3">
      <c r="B109" s="260" t="str">
        <f t="shared" si="11"/>
        <v>IStaff</v>
      </c>
      <c r="C109" s="260">
        <f>IF(ISTEXT(D109),MAX($C$4:$C108)+1,"")</f>
        <v>98</v>
      </c>
      <c r="D109" s="261" t="s">
        <v>11</v>
      </c>
      <c r="E109" s="363" t="s">
        <v>1083</v>
      </c>
      <c r="F109" s="225" t="s">
        <v>43</v>
      </c>
      <c r="G109" s="177"/>
      <c r="H109" s="184"/>
      <c r="I109" s="188">
        <f t="shared" si="16"/>
        <v>1</v>
      </c>
      <c r="J109" s="189">
        <f t="shared" si="17"/>
        <v>0</v>
      </c>
      <c r="K109" s="181">
        <f t="shared" si="8"/>
        <v>0</v>
      </c>
      <c r="L109" s="38"/>
    </row>
    <row r="110" spans="2:12" ht="36" customHeight="1" x14ac:dyDescent="0.3">
      <c r="B110" s="260" t="str">
        <f t="shared" si="11"/>
        <v>IStaff</v>
      </c>
      <c r="C110" s="260">
        <f>IF(ISTEXT(D110),MAX($C$4:$C109)+1,"")</f>
        <v>99</v>
      </c>
      <c r="D110" s="261" t="s">
        <v>11</v>
      </c>
      <c r="E110" s="363" t="s">
        <v>1084</v>
      </c>
      <c r="F110" s="225" t="s">
        <v>43</v>
      </c>
      <c r="G110" s="177"/>
      <c r="H110" s="184"/>
      <c r="I110" s="188">
        <f t="shared" si="16"/>
        <v>1</v>
      </c>
      <c r="J110" s="189">
        <f t="shared" si="17"/>
        <v>0</v>
      </c>
      <c r="K110" s="181">
        <f t="shared" si="8"/>
        <v>0</v>
      </c>
      <c r="L110" s="38"/>
    </row>
    <row r="111" spans="2:12" ht="36" customHeight="1" x14ac:dyDescent="0.3">
      <c r="B111" s="260" t="str">
        <f t="shared" si="11"/>
        <v>IStaff</v>
      </c>
      <c r="C111" s="260">
        <f>IF(ISTEXT(D111),MAX($C$4:$C110)+1,"")</f>
        <v>100</v>
      </c>
      <c r="D111" s="261" t="s">
        <v>11</v>
      </c>
      <c r="E111" s="348" t="s">
        <v>1085</v>
      </c>
      <c r="F111" s="225" t="s">
        <v>43</v>
      </c>
      <c r="G111" s="177"/>
      <c r="H111" s="184"/>
      <c r="I111" s="188">
        <f t="shared" si="16"/>
        <v>1</v>
      </c>
      <c r="J111" s="189">
        <f t="shared" si="17"/>
        <v>0</v>
      </c>
      <c r="K111" s="181">
        <f t="shared" si="8"/>
        <v>0</v>
      </c>
      <c r="L111" s="38"/>
    </row>
    <row r="112" spans="2:12" ht="30" x14ac:dyDescent="0.3">
      <c r="B112" s="260" t="str">
        <f t="shared" si="11"/>
        <v>IStaff</v>
      </c>
      <c r="C112" s="260">
        <f>IF(ISTEXT(D112),MAX($C$4:$C111)+1,"")</f>
        <v>101</v>
      </c>
      <c r="D112" s="261" t="s">
        <v>11</v>
      </c>
      <c r="E112" s="349" t="s">
        <v>1086</v>
      </c>
      <c r="F112" s="225" t="s">
        <v>43</v>
      </c>
      <c r="G112" s="177"/>
      <c r="H112" s="184"/>
      <c r="I112" s="188">
        <f t="shared" si="16"/>
        <v>1</v>
      </c>
      <c r="J112" s="189">
        <f t="shared" si="17"/>
        <v>0</v>
      </c>
      <c r="K112" s="181">
        <f t="shared" si="8"/>
        <v>0</v>
      </c>
      <c r="L112" s="38"/>
    </row>
    <row r="113" spans="2:12" ht="45" x14ac:dyDescent="0.3">
      <c r="B113" s="260" t="str">
        <f t="shared" si="11"/>
        <v>IStaff</v>
      </c>
      <c r="C113" s="260">
        <f>IF(ISTEXT(D113),MAX($C$4:$C112)+1,"")</f>
        <v>102</v>
      </c>
      <c r="D113" s="261" t="s">
        <v>11</v>
      </c>
      <c r="E113" s="349" t="s">
        <v>1087</v>
      </c>
      <c r="F113" s="225" t="s">
        <v>43</v>
      </c>
      <c r="G113" s="177"/>
      <c r="H113" s="184"/>
      <c r="I113" s="188">
        <f t="shared" si="16"/>
        <v>1</v>
      </c>
      <c r="J113" s="189">
        <f t="shared" si="17"/>
        <v>0</v>
      </c>
      <c r="K113" s="181">
        <f t="shared" si="8"/>
        <v>0</v>
      </c>
      <c r="L113" s="38"/>
    </row>
    <row r="114" spans="2:12" ht="36" customHeight="1" x14ac:dyDescent="0.3">
      <c r="B114" s="260" t="str">
        <f t="shared" si="11"/>
        <v>IStaff</v>
      </c>
      <c r="C114" s="260">
        <f>IF(ISTEXT(D114),MAX($C$4:$C113)+1,"")</f>
        <v>103</v>
      </c>
      <c r="D114" s="261" t="s">
        <v>11</v>
      </c>
      <c r="E114" s="349" t="s">
        <v>1088</v>
      </c>
      <c r="F114" s="225" t="s">
        <v>43</v>
      </c>
      <c r="G114" s="177"/>
      <c r="H114" s="184"/>
      <c r="I114" s="188">
        <f t="shared" si="16"/>
        <v>1</v>
      </c>
      <c r="J114" s="189">
        <f t="shared" si="17"/>
        <v>0</v>
      </c>
      <c r="K114" s="181">
        <f t="shared" si="8"/>
        <v>0</v>
      </c>
      <c r="L114" s="38"/>
    </row>
    <row r="115" spans="2:12" ht="36" customHeight="1" x14ac:dyDescent="0.3">
      <c r="B115" s="260" t="str">
        <f t="shared" si="11"/>
        <v>IStaff</v>
      </c>
      <c r="C115" s="260">
        <f>IF(ISTEXT(D115),MAX($C$4:$C114)+1,"")</f>
        <v>104</v>
      </c>
      <c r="D115" s="261" t="s">
        <v>11</v>
      </c>
      <c r="E115" s="349" t="s">
        <v>1089</v>
      </c>
      <c r="F115" s="225" t="s">
        <v>43</v>
      </c>
      <c r="G115" s="177"/>
      <c r="H115" s="184"/>
      <c r="I115" s="188">
        <f t="shared" si="16"/>
        <v>1</v>
      </c>
      <c r="J115" s="189">
        <f t="shared" si="17"/>
        <v>0</v>
      </c>
      <c r="K115" s="181">
        <f t="shared" si="8"/>
        <v>0</v>
      </c>
      <c r="L115" s="38"/>
    </row>
    <row r="116" spans="2:12" ht="36" customHeight="1" x14ac:dyDescent="0.3">
      <c r="B116" s="260" t="str">
        <f t="shared" si="11"/>
        <v>IStaff</v>
      </c>
      <c r="C116" s="260">
        <f>IF(ISTEXT(D116),MAX($C$4:$C115)+1,"")</f>
        <v>105</v>
      </c>
      <c r="D116" s="261" t="s">
        <v>11</v>
      </c>
      <c r="E116" s="349" t="s">
        <v>1090</v>
      </c>
      <c r="F116" s="225" t="s">
        <v>43</v>
      </c>
      <c r="G116" s="177"/>
      <c r="H116" s="184"/>
      <c r="I116" s="188">
        <f t="shared" si="16"/>
        <v>1</v>
      </c>
      <c r="J116" s="189">
        <f t="shared" si="17"/>
        <v>0</v>
      </c>
      <c r="K116" s="181">
        <f t="shared" si="8"/>
        <v>0</v>
      </c>
      <c r="L116" s="38"/>
    </row>
    <row r="117" spans="2:12" ht="36" customHeight="1" x14ac:dyDescent="0.3">
      <c r="B117" s="260" t="str">
        <f t="shared" si="11"/>
        <v>IStaff</v>
      </c>
      <c r="C117" s="260">
        <f>IF(ISTEXT(D117),MAX($C$4:$C116)+1,"")</f>
        <v>106</v>
      </c>
      <c r="D117" s="261" t="s">
        <v>11</v>
      </c>
      <c r="E117" s="349" t="s">
        <v>1091</v>
      </c>
      <c r="F117" s="225" t="s">
        <v>43</v>
      </c>
      <c r="G117" s="177"/>
      <c r="H117" s="184"/>
      <c r="I117" s="188">
        <f t="shared" si="16"/>
        <v>1</v>
      </c>
      <c r="J117" s="189">
        <f t="shared" si="17"/>
        <v>0</v>
      </c>
      <c r="K117" s="181">
        <f t="shared" si="8"/>
        <v>0</v>
      </c>
      <c r="L117" s="38"/>
    </row>
    <row r="118" spans="2:12" ht="64.95" customHeight="1" x14ac:dyDescent="0.3">
      <c r="B118" s="260" t="str">
        <f t="shared" si="11"/>
        <v>IStaff</v>
      </c>
      <c r="C118" s="260">
        <f>IF(ISTEXT(D118),MAX($C$4:$C117)+1,"")</f>
        <v>107</v>
      </c>
      <c r="D118" s="261" t="s">
        <v>11</v>
      </c>
      <c r="E118" s="349" t="s">
        <v>1092</v>
      </c>
      <c r="F118" s="225" t="s">
        <v>43</v>
      </c>
      <c r="G118" s="177"/>
      <c r="H118" s="184"/>
      <c r="I118" s="188">
        <f t="shared" si="16"/>
        <v>1</v>
      </c>
      <c r="J118" s="189">
        <f t="shared" si="17"/>
        <v>0</v>
      </c>
      <c r="K118" s="181">
        <f t="shared" si="8"/>
        <v>0</v>
      </c>
      <c r="L118" s="38"/>
    </row>
    <row r="119" spans="2:12" ht="45" x14ac:dyDescent="0.3">
      <c r="B119" s="260" t="str">
        <f t="shared" si="11"/>
        <v>IStaff</v>
      </c>
      <c r="C119" s="260">
        <f>IF(ISTEXT(D119),MAX($C$4:$C118)+1,"")</f>
        <v>108</v>
      </c>
      <c r="D119" s="261" t="s">
        <v>11</v>
      </c>
      <c r="E119" s="349" t="s">
        <v>1093</v>
      </c>
      <c r="F119" s="225" t="s">
        <v>43</v>
      </c>
      <c r="G119" s="177"/>
      <c r="H119" s="184"/>
      <c r="I119" s="188">
        <f t="shared" si="16"/>
        <v>1</v>
      </c>
      <c r="J119" s="189">
        <f t="shared" si="17"/>
        <v>0</v>
      </c>
      <c r="K119" s="181">
        <f t="shared" si="8"/>
        <v>0</v>
      </c>
      <c r="L119" s="38"/>
    </row>
    <row r="120" spans="2:12" ht="36" customHeight="1" x14ac:dyDescent="0.3">
      <c r="B120" s="260" t="str">
        <f t="shared" si="11"/>
        <v>IStaff</v>
      </c>
      <c r="C120" s="260">
        <f>IF(ISTEXT(D120),MAX($C$4:$C119)+1,"")</f>
        <v>109</v>
      </c>
      <c r="D120" s="261" t="s">
        <v>11</v>
      </c>
      <c r="E120" s="349" t="s">
        <v>1094</v>
      </c>
      <c r="F120" s="225" t="s">
        <v>43</v>
      </c>
      <c r="G120" s="177"/>
      <c r="H120" s="184"/>
      <c r="I120" s="188">
        <f t="shared" si="16"/>
        <v>1</v>
      </c>
      <c r="J120" s="189">
        <f t="shared" si="17"/>
        <v>0</v>
      </c>
      <c r="K120" s="181">
        <f t="shared" si="8"/>
        <v>0</v>
      </c>
      <c r="L120" s="38"/>
    </row>
    <row r="121" spans="2:12" ht="30" customHeight="1" x14ac:dyDescent="0.3">
      <c r="B121" s="260" t="str">
        <f t="shared" si="11"/>
        <v>IStaff</v>
      </c>
      <c r="C121" s="260">
        <f>IF(ISTEXT(D121),MAX($C$4:$C120)+1,"")</f>
        <v>110</v>
      </c>
      <c r="D121" s="261" t="s">
        <v>11</v>
      </c>
      <c r="E121" s="349" t="s">
        <v>1095</v>
      </c>
      <c r="F121" s="225" t="s">
        <v>43</v>
      </c>
      <c r="G121" s="177"/>
      <c r="H121" s="184"/>
      <c r="I121" s="188">
        <f t="shared" si="16"/>
        <v>1</v>
      </c>
      <c r="J121" s="189">
        <f t="shared" si="17"/>
        <v>0</v>
      </c>
      <c r="K121" s="181">
        <f t="shared" si="8"/>
        <v>0</v>
      </c>
      <c r="L121" s="38"/>
    </row>
    <row r="122" spans="2:12" ht="36" customHeight="1" x14ac:dyDescent="0.3">
      <c r="B122" s="260" t="str">
        <f t="shared" si="11"/>
        <v>IStaff</v>
      </c>
      <c r="C122" s="260">
        <f>IF(ISTEXT(D122),MAX($C$4:$C121)+1,"")</f>
        <v>111</v>
      </c>
      <c r="D122" s="261" t="s">
        <v>11</v>
      </c>
      <c r="E122" s="363" t="s">
        <v>1096</v>
      </c>
      <c r="F122" s="225" t="s">
        <v>43</v>
      </c>
      <c r="G122" s="177"/>
      <c r="H122" s="184"/>
      <c r="I122" s="188">
        <f t="shared" si="16"/>
        <v>1</v>
      </c>
      <c r="J122" s="189">
        <f t="shared" si="17"/>
        <v>0</v>
      </c>
      <c r="K122" s="181">
        <f t="shared" si="8"/>
        <v>0</v>
      </c>
      <c r="L122" s="38"/>
    </row>
    <row r="123" spans="2:12" ht="36" customHeight="1" x14ac:dyDescent="0.3">
      <c r="B123" s="260" t="str">
        <f t="shared" si="11"/>
        <v>IStaff</v>
      </c>
      <c r="C123" s="260">
        <f>IF(ISTEXT(D123),MAX($C$4:$C122)+1,"")</f>
        <v>112</v>
      </c>
      <c r="D123" s="261" t="s">
        <v>11</v>
      </c>
      <c r="E123" s="363" t="s">
        <v>1097</v>
      </c>
      <c r="F123" s="225" t="s">
        <v>43</v>
      </c>
      <c r="G123" s="177"/>
      <c r="H123" s="184"/>
      <c r="I123" s="188">
        <f t="shared" si="16"/>
        <v>1</v>
      </c>
      <c r="J123" s="189">
        <f t="shared" si="17"/>
        <v>0</v>
      </c>
      <c r="K123" s="181">
        <f t="shared" si="8"/>
        <v>0</v>
      </c>
      <c r="L123" s="38"/>
    </row>
    <row r="124" spans="2:12" ht="36" customHeight="1" x14ac:dyDescent="0.3">
      <c r="B124" s="260" t="str">
        <f t="shared" si="11"/>
        <v>IStaff</v>
      </c>
      <c r="C124" s="260">
        <f>IF(ISTEXT(D124),MAX($C$4:$C123)+1,"")</f>
        <v>113</v>
      </c>
      <c r="D124" s="261" t="s">
        <v>11</v>
      </c>
      <c r="E124" s="363" t="s">
        <v>1098</v>
      </c>
      <c r="F124" s="225" t="s">
        <v>43</v>
      </c>
      <c r="G124" s="177"/>
      <c r="H124" s="184"/>
      <c r="I124" s="188">
        <f t="shared" si="16"/>
        <v>1</v>
      </c>
      <c r="J124" s="189">
        <f t="shared" si="17"/>
        <v>0</v>
      </c>
      <c r="K124" s="181">
        <f t="shared" si="8"/>
        <v>0</v>
      </c>
      <c r="L124" s="38"/>
    </row>
    <row r="125" spans="2:12" ht="36" customHeight="1" x14ac:dyDescent="0.3">
      <c r="B125" s="260" t="str">
        <f t="shared" si="11"/>
        <v>IStaff</v>
      </c>
      <c r="C125" s="260">
        <f>IF(ISTEXT(D125),MAX($C$4:$C124)+1,"")</f>
        <v>114</v>
      </c>
      <c r="D125" s="261" t="s">
        <v>11</v>
      </c>
      <c r="E125" s="363" t="s">
        <v>1099</v>
      </c>
      <c r="F125" s="225" t="s">
        <v>43</v>
      </c>
      <c r="G125" s="177"/>
      <c r="H125" s="184"/>
      <c r="I125" s="188">
        <f t="shared" si="16"/>
        <v>1</v>
      </c>
      <c r="J125" s="189">
        <f t="shared" si="17"/>
        <v>0</v>
      </c>
      <c r="K125" s="181">
        <f t="shared" si="8"/>
        <v>0</v>
      </c>
      <c r="L125" s="38"/>
    </row>
    <row r="126" spans="2:12" ht="36" customHeight="1" x14ac:dyDescent="0.3">
      <c r="B126" s="260" t="str">
        <f t="shared" si="11"/>
        <v>IStaff</v>
      </c>
      <c r="C126" s="260">
        <f>IF(ISTEXT(D126),MAX($C$4:$C125)+1,"")</f>
        <v>115</v>
      </c>
      <c r="D126" s="261" t="s">
        <v>11</v>
      </c>
      <c r="E126" s="363" t="s">
        <v>1100</v>
      </c>
      <c r="F126" s="225" t="s">
        <v>43</v>
      </c>
      <c r="G126" s="177"/>
      <c r="H126" s="184"/>
      <c r="I126" s="188">
        <f t="shared" si="16"/>
        <v>1</v>
      </c>
      <c r="J126" s="189">
        <f t="shared" si="17"/>
        <v>0</v>
      </c>
      <c r="K126" s="181">
        <f t="shared" si="8"/>
        <v>0</v>
      </c>
      <c r="L126" s="38"/>
    </row>
    <row r="127" spans="2:12" ht="36" customHeight="1" x14ac:dyDescent="0.3">
      <c r="B127" s="260" t="str">
        <f t="shared" si="11"/>
        <v>IStaff</v>
      </c>
      <c r="C127" s="260">
        <f>IF(ISTEXT(D127),MAX($C$4:$C126)+1,"")</f>
        <v>116</v>
      </c>
      <c r="D127" s="261" t="s">
        <v>11</v>
      </c>
      <c r="E127" s="363" t="s">
        <v>1101</v>
      </c>
      <c r="F127" s="225" t="s">
        <v>43</v>
      </c>
      <c r="G127" s="177"/>
      <c r="H127" s="184"/>
      <c r="I127" s="188">
        <f t="shared" si="16"/>
        <v>1</v>
      </c>
      <c r="J127" s="189">
        <f t="shared" si="17"/>
        <v>0</v>
      </c>
      <c r="K127" s="181">
        <f t="shared" si="8"/>
        <v>0</v>
      </c>
      <c r="L127" s="38"/>
    </row>
    <row r="128" spans="2:12" ht="36" customHeight="1" x14ac:dyDescent="0.3">
      <c r="B128" s="260" t="str">
        <f t="shared" si="11"/>
        <v>IStaff</v>
      </c>
      <c r="C128" s="260">
        <f>IF(ISTEXT(D128),MAX($C$4:$C127)+1,"")</f>
        <v>117</v>
      </c>
      <c r="D128" s="261" t="s">
        <v>11</v>
      </c>
      <c r="E128" s="363" t="s">
        <v>1102</v>
      </c>
      <c r="F128" s="225" t="s">
        <v>43</v>
      </c>
      <c r="G128" s="177"/>
      <c r="H128" s="184"/>
      <c r="I128" s="188">
        <f t="shared" si="16"/>
        <v>1</v>
      </c>
      <c r="J128" s="189">
        <f t="shared" si="17"/>
        <v>0</v>
      </c>
      <c r="K128" s="181">
        <f t="shared" si="8"/>
        <v>0</v>
      </c>
      <c r="L128" s="38"/>
    </row>
    <row r="129" spans="2:12" ht="36" customHeight="1" x14ac:dyDescent="0.3">
      <c r="B129" s="260" t="str">
        <f t="shared" si="11"/>
        <v>IStaff</v>
      </c>
      <c r="C129" s="260">
        <f>IF(ISTEXT(D129),MAX($C$4:$C128)+1,"")</f>
        <v>118</v>
      </c>
      <c r="D129" s="261" t="s">
        <v>11</v>
      </c>
      <c r="E129" s="363" t="s">
        <v>1103</v>
      </c>
      <c r="F129" s="225" t="s">
        <v>43</v>
      </c>
      <c r="G129" s="177"/>
      <c r="H129" s="184"/>
      <c r="I129" s="188">
        <f t="shared" si="16"/>
        <v>1</v>
      </c>
      <c r="J129" s="189">
        <f t="shared" si="17"/>
        <v>0</v>
      </c>
      <c r="K129" s="181">
        <f t="shared" si="8"/>
        <v>0</v>
      </c>
      <c r="L129" s="38"/>
    </row>
    <row r="130" spans="2:12" ht="36" customHeight="1" x14ac:dyDescent="0.3">
      <c r="B130" s="260" t="str">
        <f t="shared" si="11"/>
        <v>IStaff</v>
      </c>
      <c r="C130" s="260">
        <f>IF(ISTEXT(D130),MAX($C$4:$C129)+1,"")</f>
        <v>119</v>
      </c>
      <c r="D130" s="261" t="s">
        <v>11</v>
      </c>
      <c r="E130" s="363" t="s">
        <v>1104</v>
      </c>
      <c r="F130" s="225" t="s">
        <v>43</v>
      </c>
      <c r="G130" s="177"/>
      <c r="H130" s="184"/>
      <c r="I130" s="188">
        <f t="shared" si="16"/>
        <v>1</v>
      </c>
      <c r="J130" s="189">
        <f t="shared" si="17"/>
        <v>0</v>
      </c>
      <c r="K130" s="181">
        <f t="shared" si="8"/>
        <v>0</v>
      </c>
      <c r="L130" s="38"/>
    </row>
    <row r="131" spans="2:12" ht="45" x14ac:dyDescent="0.3">
      <c r="B131" s="260" t="str">
        <f t="shared" si="11"/>
        <v>IStaff</v>
      </c>
      <c r="C131" s="260">
        <f>IF(ISTEXT(D131),MAX($C$4:$C130)+1,"")</f>
        <v>120</v>
      </c>
      <c r="D131" s="261" t="s">
        <v>11</v>
      </c>
      <c r="E131" s="363" t="s">
        <v>1105</v>
      </c>
      <c r="F131" s="225" t="s">
        <v>43</v>
      </c>
      <c r="G131" s="177"/>
      <c r="H131" s="184"/>
      <c r="I131" s="188">
        <f t="shared" si="16"/>
        <v>1</v>
      </c>
      <c r="J131" s="189">
        <f t="shared" si="17"/>
        <v>0</v>
      </c>
      <c r="K131" s="181">
        <f t="shared" si="8"/>
        <v>0</v>
      </c>
      <c r="L131" s="38"/>
    </row>
    <row r="132" spans="2:12" ht="36" customHeight="1" x14ac:dyDescent="0.3">
      <c r="B132" s="260" t="str">
        <f t="shared" si="11"/>
        <v>IStaff</v>
      </c>
      <c r="C132" s="260">
        <f>IF(ISTEXT(D132),MAX($C$4:$C131)+1,"")</f>
        <v>121</v>
      </c>
      <c r="D132" s="261" t="s">
        <v>11</v>
      </c>
      <c r="E132" s="350" t="s">
        <v>1106</v>
      </c>
      <c r="F132" s="225" t="s">
        <v>43</v>
      </c>
      <c r="G132" s="177"/>
      <c r="H132" s="184"/>
      <c r="I132" s="188">
        <f t="shared" si="16"/>
        <v>1</v>
      </c>
      <c r="J132" s="189">
        <f t="shared" si="17"/>
        <v>0</v>
      </c>
      <c r="K132" s="181">
        <f t="shared" si="8"/>
        <v>0</v>
      </c>
      <c r="L132" s="38"/>
    </row>
    <row r="133" spans="2:12" ht="36" customHeight="1" x14ac:dyDescent="0.3">
      <c r="B133" s="260" t="str">
        <f t="shared" si="11"/>
        <v>IStaff</v>
      </c>
      <c r="C133" s="260">
        <f>IF(ISTEXT(D133),MAX($C$4:$C132)+1,"")</f>
        <v>122</v>
      </c>
      <c r="D133" s="261" t="s">
        <v>11</v>
      </c>
      <c r="E133" s="350" t="s">
        <v>1107</v>
      </c>
      <c r="F133" s="225" t="s">
        <v>43</v>
      </c>
      <c r="G133" s="177"/>
      <c r="H133" s="184"/>
      <c r="I133" s="188">
        <f t="shared" si="16"/>
        <v>1</v>
      </c>
      <c r="J133" s="189">
        <f t="shared" si="17"/>
        <v>0</v>
      </c>
      <c r="K133" s="181">
        <f t="shared" ref="K133:K158" si="18">I133*J133</f>
        <v>0</v>
      </c>
      <c r="L133" s="38"/>
    </row>
    <row r="134" spans="2:12" ht="45" x14ac:dyDescent="0.3">
      <c r="B134" s="260" t="str">
        <f t="shared" si="11"/>
        <v>IStaff</v>
      </c>
      <c r="C134" s="260">
        <f>IF(ISTEXT(D134),MAX($C$4:$C133)+1,"")</f>
        <v>123</v>
      </c>
      <c r="D134" s="261" t="s">
        <v>11</v>
      </c>
      <c r="E134" s="350" t="s">
        <v>1108</v>
      </c>
      <c r="F134" s="225" t="s">
        <v>43</v>
      </c>
      <c r="G134" s="177"/>
      <c r="H134" s="184"/>
      <c r="I134" s="188">
        <f t="shared" si="16"/>
        <v>1</v>
      </c>
      <c r="J134" s="189">
        <f t="shared" si="17"/>
        <v>0</v>
      </c>
      <c r="K134" s="181">
        <f t="shared" si="18"/>
        <v>0</v>
      </c>
      <c r="L134" s="38"/>
    </row>
    <row r="135" spans="2:12" ht="36" customHeight="1" x14ac:dyDescent="0.3">
      <c r="B135" s="260" t="str">
        <f t="shared" ref="B135:B158" si="19">IF(C135="","",$B$4)</f>
        <v>IStaff</v>
      </c>
      <c r="C135" s="260">
        <f>IF(ISTEXT(D135),MAX($C$4:$C134)+1,"")</f>
        <v>124</v>
      </c>
      <c r="D135" s="261" t="s">
        <v>11</v>
      </c>
      <c r="E135" s="350" t="s">
        <v>1109</v>
      </c>
      <c r="F135" s="225" t="s">
        <v>43</v>
      </c>
      <c r="G135" s="177"/>
      <c r="H135" s="184"/>
      <c r="I135" s="188">
        <f t="shared" si="16"/>
        <v>1</v>
      </c>
      <c r="J135" s="189">
        <f t="shared" si="17"/>
        <v>0</v>
      </c>
      <c r="K135" s="181">
        <f t="shared" si="18"/>
        <v>0</v>
      </c>
      <c r="L135" s="38"/>
    </row>
    <row r="136" spans="2:12" ht="60" x14ac:dyDescent="0.3">
      <c r="B136" s="260" t="str">
        <f t="shared" si="19"/>
        <v>IStaff</v>
      </c>
      <c r="C136" s="260">
        <f>IF(ISTEXT(D136),MAX($C$4:$C135)+1,"")</f>
        <v>125</v>
      </c>
      <c r="D136" s="261" t="s">
        <v>11</v>
      </c>
      <c r="E136" s="350" t="s">
        <v>1110</v>
      </c>
      <c r="F136" s="225" t="s">
        <v>43</v>
      </c>
      <c r="G136" s="177"/>
      <c r="H136" s="184"/>
      <c r="I136" s="188">
        <f t="shared" si="16"/>
        <v>1</v>
      </c>
      <c r="J136" s="189">
        <f t="shared" si="17"/>
        <v>0</v>
      </c>
      <c r="K136" s="181">
        <f t="shared" si="18"/>
        <v>0</v>
      </c>
      <c r="L136" s="38"/>
    </row>
    <row r="137" spans="2:12" ht="45" x14ac:dyDescent="0.3">
      <c r="B137" s="260" t="str">
        <f t="shared" si="19"/>
        <v>IStaff</v>
      </c>
      <c r="C137" s="260">
        <f>IF(ISTEXT(D137),MAX($C$4:$C136)+1,"")</f>
        <v>126</v>
      </c>
      <c r="D137" s="261" t="s">
        <v>11</v>
      </c>
      <c r="E137" s="350" t="s">
        <v>1111</v>
      </c>
      <c r="F137" s="225" t="s">
        <v>43</v>
      </c>
      <c r="G137" s="177"/>
      <c r="H137" s="184"/>
      <c r="I137" s="188">
        <f t="shared" si="16"/>
        <v>1</v>
      </c>
      <c r="J137" s="189">
        <f t="shared" si="17"/>
        <v>0</v>
      </c>
      <c r="K137" s="181">
        <f t="shared" si="18"/>
        <v>0</v>
      </c>
      <c r="L137" s="38"/>
    </row>
    <row r="138" spans="2:12" ht="36" customHeight="1" x14ac:dyDescent="0.3">
      <c r="B138" s="260" t="str">
        <f t="shared" si="19"/>
        <v>IStaff</v>
      </c>
      <c r="C138" s="260">
        <f>IF(ISTEXT(D138),MAX($C$4:$C137)+1,"")</f>
        <v>127</v>
      </c>
      <c r="D138" s="261" t="s">
        <v>11</v>
      </c>
      <c r="E138" s="350" t="s">
        <v>1112</v>
      </c>
      <c r="F138" s="225" t="s">
        <v>43</v>
      </c>
      <c r="G138" s="177"/>
      <c r="H138" s="184"/>
      <c r="I138" s="188">
        <f t="shared" si="16"/>
        <v>1</v>
      </c>
      <c r="J138" s="189">
        <f t="shared" si="17"/>
        <v>0</v>
      </c>
      <c r="K138" s="181">
        <f t="shared" si="18"/>
        <v>0</v>
      </c>
      <c r="L138" s="38"/>
    </row>
    <row r="139" spans="2:12" ht="36" customHeight="1" x14ac:dyDescent="0.3">
      <c r="B139" s="260" t="str">
        <f t="shared" si="19"/>
        <v>IStaff</v>
      </c>
      <c r="C139" s="260">
        <f>IF(ISTEXT(D139),MAX($C$4:$C138)+1,"")</f>
        <v>128</v>
      </c>
      <c r="D139" s="261" t="s">
        <v>11</v>
      </c>
      <c r="E139" s="350" t="s">
        <v>1113</v>
      </c>
      <c r="F139" s="225" t="s">
        <v>43</v>
      </c>
      <c r="G139" s="177"/>
      <c r="H139" s="184"/>
      <c r="I139" s="188">
        <f t="shared" si="16"/>
        <v>1</v>
      </c>
      <c r="J139" s="189">
        <f t="shared" si="17"/>
        <v>0</v>
      </c>
      <c r="K139" s="181">
        <f t="shared" si="18"/>
        <v>0</v>
      </c>
      <c r="L139" s="38"/>
    </row>
    <row r="140" spans="2:12" ht="36" customHeight="1" x14ac:dyDescent="0.3">
      <c r="B140" s="260" t="str">
        <f t="shared" si="19"/>
        <v>IStaff</v>
      </c>
      <c r="C140" s="260">
        <f>IF(ISTEXT(D140),MAX($C$4:$C139)+1,"")</f>
        <v>129</v>
      </c>
      <c r="D140" s="261" t="s">
        <v>11</v>
      </c>
      <c r="E140" s="350" t="s">
        <v>1114</v>
      </c>
      <c r="F140" s="225" t="s">
        <v>43</v>
      </c>
      <c r="G140" s="177"/>
      <c r="H140" s="184"/>
      <c r="I140" s="188">
        <f t="shared" ref="I140:I158" si="20">VLOOKUP($D140,SpecData,2,FALSE)</f>
        <v>1</v>
      </c>
      <c r="J140" s="189">
        <f t="shared" ref="J140:J158" si="21">VLOOKUP($F140,AvailabilityData,2,FALSE)</f>
        <v>0</v>
      </c>
      <c r="K140" s="181">
        <f t="shared" si="18"/>
        <v>0</v>
      </c>
      <c r="L140" s="38"/>
    </row>
    <row r="141" spans="2:12" ht="36" customHeight="1" x14ac:dyDescent="0.3">
      <c r="B141" s="260" t="str">
        <f t="shared" si="19"/>
        <v>IStaff</v>
      </c>
      <c r="C141" s="260">
        <f>IF(ISTEXT(D141),MAX($C$4:$C140)+1,"")</f>
        <v>130</v>
      </c>
      <c r="D141" s="261" t="s">
        <v>11</v>
      </c>
      <c r="E141" s="350" t="s">
        <v>1115</v>
      </c>
      <c r="F141" s="225" t="s">
        <v>43</v>
      </c>
      <c r="G141" s="177"/>
      <c r="H141" s="184"/>
      <c r="I141" s="188">
        <f t="shared" si="20"/>
        <v>1</v>
      </c>
      <c r="J141" s="189">
        <f t="shared" si="21"/>
        <v>0</v>
      </c>
      <c r="K141" s="181">
        <f t="shared" si="18"/>
        <v>0</v>
      </c>
      <c r="L141" s="38"/>
    </row>
    <row r="142" spans="2:12" ht="75" x14ac:dyDescent="0.3">
      <c r="B142" s="260" t="str">
        <f t="shared" si="19"/>
        <v>IStaff</v>
      </c>
      <c r="C142" s="260">
        <f>IF(ISTEXT(D142),MAX($C$4:$C141)+1,"")</f>
        <v>131</v>
      </c>
      <c r="D142" s="261" t="s">
        <v>11</v>
      </c>
      <c r="E142" s="350" t="s">
        <v>1116</v>
      </c>
      <c r="F142" s="225" t="s">
        <v>43</v>
      </c>
      <c r="G142" s="177"/>
      <c r="H142" s="184"/>
      <c r="I142" s="188">
        <f t="shared" si="20"/>
        <v>1</v>
      </c>
      <c r="J142" s="189">
        <f t="shared" si="21"/>
        <v>0</v>
      </c>
      <c r="K142" s="181">
        <f t="shared" si="18"/>
        <v>0</v>
      </c>
      <c r="L142" s="38"/>
    </row>
    <row r="143" spans="2:12" ht="75" x14ac:dyDescent="0.3">
      <c r="B143" s="260" t="str">
        <f t="shared" si="19"/>
        <v>IStaff</v>
      </c>
      <c r="C143" s="260">
        <f>IF(ISTEXT(D143),MAX($C$4:$C142)+1,"")</f>
        <v>132</v>
      </c>
      <c r="D143" s="261" t="s">
        <v>11</v>
      </c>
      <c r="E143" s="350" t="s">
        <v>1117</v>
      </c>
      <c r="F143" s="225" t="s">
        <v>43</v>
      </c>
      <c r="G143" s="177"/>
      <c r="H143" s="184"/>
      <c r="I143" s="188">
        <f t="shared" si="20"/>
        <v>1</v>
      </c>
      <c r="J143" s="189">
        <f t="shared" si="21"/>
        <v>0</v>
      </c>
      <c r="K143" s="181">
        <f t="shared" si="18"/>
        <v>0</v>
      </c>
      <c r="L143" s="38"/>
    </row>
    <row r="144" spans="2:12" ht="75" x14ac:dyDescent="0.3">
      <c r="B144" s="260" t="str">
        <f t="shared" si="19"/>
        <v>IStaff</v>
      </c>
      <c r="C144" s="260">
        <f>IF(ISTEXT(D144),MAX($C$4:$C143)+1,"")</f>
        <v>133</v>
      </c>
      <c r="D144" s="261" t="s">
        <v>11</v>
      </c>
      <c r="E144" s="362" t="s">
        <v>1118</v>
      </c>
      <c r="F144" s="225" t="s">
        <v>43</v>
      </c>
      <c r="G144" s="177"/>
      <c r="H144" s="184"/>
      <c r="I144" s="188">
        <f t="shared" si="20"/>
        <v>1</v>
      </c>
      <c r="J144" s="189">
        <f t="shared" si="21"/>
        <v>0</v>
      </c>
      <c r="K144" s="181">
        <f t="shared" si="18"/>
        <v>0</v>
      </c>
      <c r="L144" s="38"/>
    </row>
    <row r="145" spans="2:12" ht="36" customHeight="1" x14ac:dyDescent="0.3">
      <c r="B145" s="260" t="str">
        <f t="shared" si="19"/>
        <v>IStaff</v>
      </c>
      <c r="C145" s="260">
        <f>IF(ISTEXT(D145),MAX($C$4:$C144)+1,"")</f>
        <v>134</v>
      </c>
      <c r="D145" s="261" t="s">
        <v>11</v>
      </c>
      <c r="E145" s="362" t="s">
        <v>1119</v>
      </c>
      <c r="F145" s="225" t="s">
        <v>43</v>
      </c>
      <c r="G145" s="177"/>
      <c r="H145" s="184"/>
      <c r="I145" s="188">
        <f t="shared" si="20"/>
        <v>1</v>
      </c>
      <c r="J145" s="189">
        <f t="shared" si="21"/>
        <v>0</v>
      </c>
      <c r="K145" s="181">
        <f t="shared" si="18"/>
        <v>0</v>
      </c>
      <c r="L145" s="38"/>
    </row>
    <row r="146" spans="2:12" ht="45" x14ac:dyDescent="0.3">
      <c r="B146" s="260" t="str">
        <f t="shared" si="19"/>
        <v>IStaff</v>
      </c>
      <c r="C146" s="260">
        <f>IF(ISTEXT(D146),MAX($C$4:$C145)+1,"")</f>
        <v>135</v>
      </c>
      <c r="D146" s="261" t="s">
        <v>11</v>
      </c>
      <c r="E146" s="363" t="s">
        <v>1120</v>
      </c>
      <c r="F146" s="225" t="s">
        <v>43</v>
      </c>
      <c r="G146" s="177"/>
      <c r="H146" s="184"/>
      <c r="I146" s="188">
        <f t="shared" si="20"/>
        <v>1</v>
      </c>
      <c r="J146" s="189">
        <f t="shared" si="21"/>
        <v>0</v>
      </c>
      <c r="K146" s="181">
        <f t="shared" si="18"/>
        <v>0</v>
      </c>
      <c r="L146" s="38"/>
    </row>
    <row r="147" spans="2:12" ht="60" x14ac:dyDescent="0.3">
      <c r="B147" s="260" t="str">
        <f t="shared" si="19"/>
        <v>IStaff</v>
      </c>
      <c r="C147" s="260">
        <f>IF(ISTEXT(D147),MAX($C$4:$C146)+1,"")</f>
        <v>136</v>
      </c>
      <c r="D147" s="261" t="s">
        <v>11</v>
      </c>
      <c r="E147" s="362" t="s">
        <v>1121</v>
      </c>
      <c r="F147" s="225" t="s">
        <v>43</v>
      </c>
      <c r="G147" s="177"/>
      <c r="H147" s="184"/>
      <c r="I147" s="188">
        <f t="shared" si="20"/>
        <v>1</v>
      </c>
      <c r="J147" s="189">
        <f t="shared" si="21"/>
        <v>0</v>
      </c>
      <c r="K147" s="181">
        <f t="shared" si="18"/>
        <v>0</v>
      </c>
      <c r="L147" s="38"/>
    </row>
    <row r="148" spans="2:12" ht="45" x14ac:dyDescent="0.3">
      <c r="B148" s="260" t="str">
        <f t="shared" si="19"/>
        <v>IStaff</v>
      </c>
      <c r="C148" s="260">
        <f>IF(ISTEXT(D148),MAX($C$4:$C147)+1,"")</f>
        <v>137</v>
      </c>
      <c r="D148" s="261" t="s">
        <v>11</v>
      </c>
      <c r="E148" s="362" t="s">
        <v>1122</v>
      </c>
      <c r="F148" s="225" t="s">
        <v>43</v>
      </c>
      <c r="G148" s="177"/>
      <c r="H148" s="184"/>
      <c r="I148" s="188">
        <f t="shared" si="20"/>
        <v>1</v>
      </c>
      <c r="J148" s="189">
        <f t="shared" si="21"/>
        <v>0</v>
      </c>
      <c r="K148" s="181">
        <f t="shared" si="18"/>
        <v>0</v>
      </c>
      <c r="L148" s="38"/>
    </row>
    <row r="149" spans="2:12" ht="36" customHeight="1" x14ac:dyDescent="0.3">
      <c r="B149" s="260" t="str">
        <f t="shared" si="19"/>
        <v>IStaff</v>
      </c>
      <c r="C149" s="260">
        <f>IF(ISTEXT(D149),MAX($C$4:$C148)+1,"")</f>
        <v>138</v>
      </c>
      <c r="D149" s="261" t="s">
        <v>11</v>
      </c>
      <c r="E149" s="362" t="s">
        <v>1123</v>
      </c>
      <c r="F149" s="225" t="s">
        <v>43</v>
      </c>
      <c r="G149" s="177"/>
      <c r="H149" s="184"/>
      <c r="I149" s="188">
        <f t="shared" si="20"/>
        <v>1</v>
      </c>
      <c r="J149" s="189">
        <f t="shared" si="21"/>
        <v>0</v>
      </c>
      <c r="K149" s="181">
        <f t="shared" si="18"/>
        <v>0</v>
      </c>
      <c r="L149" s="38"/>
    </row>
    <row r="150" spans="2:12" ht="36" customHeight="1" x14ac:dyDescent="0.3">
      <c r="B150" s="260" t="str">
        <f t="shared" si="19"/>
        <v>IStaff</v>
      </c>
      <c r="C150" s="260">
        <f>IF(ISTEXT(D150),MAX($C$4:$C149)+1,"")</f>
        <v>139</v>
      </c>
      <c r="D150" s="261" t="s">
        <v>11</v>
      </c>
      <c r="E150" s="362" t="s">
        <v>1124</v>
      </c>
      <c r="F150" s="225" t="s">
        <v>43</v>
      </c>
      <c r="G150" s="177"/>
      <c r="H150" s="184"/>
      <c r="I150" s="188">
        <f t="shared" si="20"/>
        <v>1</v>
      </c>
      <c r="J150" s="189">
        <f t="shared" si="21"/>
        <v>0</v>
      </c>
      <c r="K150" s="181">
        <f t="shared" si="18"/>
        <v>0</v>
      </c>
      <c r="L150" s="38"/>
    </row>
    <row r="151" spans="2:12" ht="30" x14ac:dyDescent="0.3">
      <c r="B151" s="260" t="str">
        <f t="shared" si="19"/>
        <v>IStaff</v>
      </c>
      <c r="C151" s="260">
        <f>IF(ISTEXT(D151),MAX($C$4:$C150)+1,"")</f>
        <v>140</v>
      </c>
      <c r="D151" s="261" t="s">
        <v>11</v>
      </c>
      <c r="E151" s="362" t="s">
        <v>1125</v>
      </c>
      <c r="F151" s="225" t="s">
        <v>43</v>
      </c>
      <c r="G151" s="177"/>
      <c r="H151" s="184"/>
      <c r="I151" s="188">
        <f t="shared" si="20"/>
        <v>1</v>
      </c>
      <c r="J151" s="189">
        <f t="shared" si="21"/>
        <v>0</v>
      </c>
      <c r="K151" s="181">
        <f t="shared" si="18"/>
        <v>0</v>
      </c>
      <c r="L151" s="38"/>
    </row>
    <row r="152" spans="2:12" ht="36" customHeight="1" x14ac:dyDescent="0.3">
      <c r="B152" s="260" t="str">
        <f t="shared" si="19"/>
        <v>IStaff</v>
      </c>
      <c r="C152" s="260">
        <f>IF(ISTEXT(D152),MAX($C$4:$C151)+1,"")</f>
        <v>141</v>
      </c>
      <c r="D152" s="261" t="s">
        <v>11</v>
      </c>
      <c r="E152" s="362" t="s">
        <v>1126</v>
      </c>
      <c r="F152" s="225" t="s">
        <v>43</v>
      </c>
      <c r="G152" s="177"/>
      <c r="H152" s="184"/>
      <c r="I152" s="188">
        <f t="shared" si="20"/>
        <v>1</v>
      </c>
      <c r="J152" s="189">
        <f t="shared" si="21"/>
        <v>0</v>
      </c>
      <c r="K152" s="181">
        <f t="shared" si="18"/>
        <v>0</v>
      </c>
      <c r="L152" s="38"/>
    </row>
    <row r="153" spans="2:12" ht="36" customHeight="1" x14ac:dyDescent="0.3">
      <c r="B153" s="260" t="str">
        <f t="shared" si="19"/>
        <v>IStaff</v>
      </c>
      <c r="C153" s="260">
        <f>IF(ISTEXT(D153),MAX($C$4:$C152)+1,"")</f>
        <v>142</v>
      </c>
      <c r="D153" s="261" t="s">
        <v>11</v>
      </c>
      <c r="E153" s="362" t="s">
        <v>1127</v>
      </c>
      <c r="F153" s="225" t="s">
        <v>43</v>
      </c>
      <c r="G153" s="177"/>
      <c r="H153" s="184"/>
      <c r="I153" s="188">
        <f t="shared" si="20"/>
        <v>1</v>
      </c>
      <c r="J153" s="189">
        <f t="shared" si="21"/>
        <v>0</v>
      </c>
      <c r="K153" s="181">
        <f t="shared" si="18"/>
        <v>0</v>
      </c>
      <c r="L153" s="38"/>
    </row>
    <row r="154" spans="2:12" ht="36" customHeight="1" x14ac:dyDescent="0.3">
      <c r="B154" s="260" t="str">
        <f t="shared" si="19"/>
        <v>IStaff</v>
      </c>
      <c r="C154" s="260">
        <f>IF(ISTEXT(D154),MAX($C$4:$C153)+1,"")</f>
        <v>143</v>
      </c>
      <c r="D154" s="261" t="s">
        <v>11</v>
      </c>
      <c r="E154" s="362" t="s">
        <v>1128</v>
      </c>
      <c r="F154" s="225" t="s">
        <v>43</v>
      </c>
      <c r="G154" s="177"/>
      <c r="H154" s="184"/>
      <c r="I154" s="188">
        <f t="shared" si="20"/>
        <v>1</v>
      </c>
      <c r="J154" s="189">
        <f t="shared" si="21"/>
        <v>0</v>
      </c>
      <c r="K154" s="181">
        <f t="shared" si="18"/>
        <v>0</v>
      </c>
      <c r="L154" s="38"/>
    </row>
    <row r="155" spans="2:12" ht="36" customHeight="1" x14ac:dyDescent="0.3">
      <c r="B155" s="260" t="str">
        <f t="shared" si="19"/>
        <v>IStaff</v>
      </c>
      <c r="C155" s="260">
        <f>IF(ISTEXT(D155),MAX($C$4:$C154)+1,"")</f>
        <v>144</v>
      </c>
      <c r="D155" s="261" t="s">
        <v>11</v>
      </c>
      <c r="E155" s="350" t="s">
        <v>1129</v>
      </c>
      <c r="F155" s="225" t="s">
        <v>43</v>
      </c>
      <c r="G155" s="177"/>
      <c r="H155" s="184"/>
      <c r="I155" s="188">
        <f t="shared" si="20"/>
        <v>1</v>
      </c>
      <c r="J155" s="189">
        <f t="shared" si="21"/>
        <v>0</v>
      </c>
      <c r="K155" s="181">
        <f t="shared" si="18"/>
        <v>0</v>
      </c>
      <c r="L155" s="38"/>
    </row>
    <row r="156" spans="2:12" ht="90" x14ac:dyDescent="0.3">
      <c r="B156" s="260" t="str">
        <f t="shared" si="19"/>
        <v>IStaff</v>
      </c>
      <c r="C156" s="260">
        <f>IF(ISTEXT(D156),MAX($C$4:$C155)+1,"")</f>
        <v>145</v>
      </c>
      <c r="D156" s="261" t="s">
        <v>11</v>
      </c>
      <c r="E156" s="350" t="s">
        <v>1130</v>
      </c>
      <c r="F156" s="225" t="s">
        <v>43</v>
      </c>
      <c r="G156" s="177"/>
      <c r="H156" s="184"/>
      <c r="I156" s="188">
        <f t="shared" si="20"/>
        <v>1</v>
      </c>
      <c r="J156" s="189">
        <f t="shared" si="21"/>
        <v>0</v>
      </c>
      <c r="K156" s="181">
        <f t="shared" si="18"/>
        <v>0</v>
      </c>
      <c r="L156" s="38"/>
    </row>
    <row r="157" spans="2:12" ht="36" customHeight="1" x14ac:dyDescent="0.3">
      <c r="B157" s="260" t="str">
        <f t="shared" si="19"/>
        <v>IStaff</v>
      </c>
      <c r="C157" s="260">
        <f>IF(ISTEXT(D157),MAX($C$4:$C156)+1,"")</f>
        <v>146</v>
      </c>
      <c r="D157" s="261" t="s">
        <v>11</v>
      </c>
      <c r="E157" s="350" t="s">
        <v>1131</v>
      </c>
      <c r="F157" s="225" t="s">
        <v>43</v>
      </c>
      <c r="G157" s="177"/>
      <c r="H157" s="184"/>
      <c r="I157" s="188">
        <f t="shared" si="20"/>
        <v>1</v>
      </c>
      <c r="J157" s="189">
        <f t="shared" si="21"/>
        <v>0</v>
      </c>
      <c r="K157" s="181">
        <f t="shared" si="18"/>
        <v>0</v>
      </c>
      <c r="L157" s="38"/>
    </row>
    <row r="158" spans="2:12" ht="36" customHeight="1" x14ac:dyDescent="0.3">
      <c r="B158" s="260" t="str">
        <f t="shared" si="19"/>
        <v>IStaff</v>
      </c>
      <c r="C158" s="260">
        <f>IF(ISTEXT(D158),MAX($C$4:$C157)+1,"")</f>
        <v>147</v>
      </c>
      <c r="D158" s="261" t="s">
        <v>11</v>
      </c>
      <c r="E158" s="350" t="s">
        <v>1132</v>
      </c>
      <c r="F158" s="225" t="s">
        <v>43</v>
      </c>
      <c r="G158" s="177"/>
      <c r="H158" s="184"/>
      <c r="I158" s="188">
        <f t="shared" si="20"/>
        <v>1</v>
      </c>
      <c r="J158" s="189">
        <f t="shared" si="21"/>
        <v>0</v>
      </c>
      <c r="K158" s="181">
        <f t="shared" si="18"/>
        <v>0</v>
      </c>
      <c r="L158" s="38"/>
    </row>
    <row r="159" spans="2:12" x14ac:dyDescent="0.3">
      <c r="F159" s="35"/>
      <c r="G159"/>
    </row>
    <row r="160" spans="2:12" hidden="1" x14ac:dyDescent="0.3">
      <c r="F160" s="35"/>
      <c r="G160"/>
    </row>
  </sheetData>
  <sheetProtection algorithmName="SHA-512" hashValue="j055zT/by12vIcN8IVFY+f41Tc7RBOIm1ETBmiwvVA5tYDFldp/Y4EOa/mSERy2qsckmN6ekEe5s83s8Xl0CNA==" saltValue="lt2gy3n13Kn3nd/qUCC+xA==" spinCount="100000" sheet="1" selectLockedCells="1"/>
  <conditionalFormatting sqref="D4:D27 D29:D33 D35:D37 D39:D60">
    <cfRule type="cellIs" dxfId="56" priority="49" operator="equal">
      <formula>"Important"</formula>
    </cfRule>
    <cfRule type="cellIs" dxfId="55" priority="50" operator="equal">
      <formula>"Crucial"</formula>
    </cfRule>
    <cfRule type="cellIs" dxfId="54" priority="51" operator="equal">
      <formula>"N/A"</formula>
    </cfRule>
  </conditionalFormatting>
  <conditionalFormatting sqref="D62:D84">
    <cfRule type="cellIs" dxfId="53" priority="16" operator="equal">
      <formula>"Important"</formula>
    </cfRule>
    <cfRule type="cellIs" dxfId="52" priority="17" operator="equal">
      <formula>"Crucial"</formula>
    </cfRule>
    <cfRule type="cellIs" dxfId="51" priority="18" operator="equal">
      <formula>"N/A"</formula>
    </cfRule>
  </conditionalFormatting>
  <conditionalFormatting sqref="D86:D91">
    <cfRule type="cellIs" dxfId="50" priority="13" operator="equal">
      <formula>"Important"</formula>
    </cfRule>
    <cfRule type="cellIs" dxfId="49" priority="14" operator="equal">
      <formula>"Crucial"</formula>
    </cfRule>
    <cfRule type="cellIs" dxfId="48" priority="15" operator="equal">
      <formula>"N/A"</formula>
    </cfRule>
  </conditionalFormatting>
  <conditionalFormatting sqref="D93:D95">
    <cfRule type="cellIs" dxfId="47" priority="7" operator="equal">
      <formula>"Important"</formula>
    </cfRule>
    <cfRule type="cellIs" dxfId="46" priority="8" operator="equal">
      <formula>"Crucial"</formula>
    </cfRule>
    <cfRule type="cellIs" dxfId="45" priority="9" operator="equal">
      <formula>"N/A"</formula>
    </cfRule>
  </conditionalFormatting>
  <conditionalFormatting sqref="D97:D106">
    <cfRule type="cellIs" dxfId="44" priority="4" operator="equal">
      <formula>"Important"</formula>
    </cfRule>
    <cfRule type="cellIs" dxfId="43" priority="5" operator="equal">
      <formula>"Crucial"</formula>
    </cfRule>
    <cfRule type="cellIs" dxfId="42" priority="6" operator="equal">
      <formula>"N/A"</formula>
    </cfRule>
  </conditionalFormatting>
  <conditionalFormatting sqref="D108:D158">
    <cfRule type="cellIs" dxfId="41" priority="1" operator="equal">
      <formula>"Important"</formula>
    </cfRule>
    <cfRule type="cellIs" dxfId="40" priority="2" operator="equal">
      <formula>"Crucial"</formula>
    </cfRule>
    <cfRule type="cellIs" dxfId="39" priority="3" operator="equal">
      <formula>"N/A"</formula>
    </cfRule>
  </conditionalFormatting>
  <conditionalFormatting sqref="F4:F33">
    <cfRule type="cellIs" dxfId="38" priority="37" operator="equal">
      <formula>"Function Not Available"</formula>
    </cfRule>
    <cfRule type="cellIs" dxfId="37" priority="38" operator="equal">
      <formula>"Function Available"</formula>
    </cfRule>
    <cfRule type="cellIs" dxfId="36" priority="39" operator="equal">
      <formula>"Exception"</formula>
    </cfRule>
  </conditionalFormatting>
  <conditionalFormatting sqref="F35:F158">
    <cfRule type="cellIs" dxfId="35" priority="19" operator="equal">
      <formula>"Function Not Available"</formula>
    </cfRule>
    <cfRule type="cellIs" dxfId="34" priority="20" operator="equal">
      <formula>"Function Available"</formula>
    </cfRule>
    <cfRule type="cellIs" dxfId="33" priority="21" operator="equal">
      <formula>"Exception"</formula>
    </cfRule>
  </conditionalFormatting>
  <dataValidations count="3">
    <dataValidation type="list" allowBlank="1" showInputMessage="1" showErrorMessage="1" errorTitle="Invalid specification type" error="Please enter a Specification type from the drop-down list." sqref="F6:F27 F29:F33 F35:F37 F97:F106 F39:F60 F62:F84 F86:F91 F93:F95 F108:F158" xr:uid="{00000000-0002-0000-1F00-000000000000}">
      <formula1>AvailabilityType</formula1>
    </dataValidation>
    <dataValidation type="list" allowBlank="1" showInputMessage="1" showErrorMessage="1" sqref="D4:D27 D29:D33 D35:D37 D97:D106 D39:D60 D62:D84 D86:D91 D93:D95 D108:D158" xr:uid="{00000000-0002-0000-1F00-000001000000}">
      <formula1>SpecType</formula1>
    </dataValidation>
    <dataValidation type="list" allowBlank="1" showInputMessage="1" showErrorMessage="1" sqref="F4:F5" xr:uid="{00000000-0002-0000-1F00-000002000000}">
      <formula1>AvailabilityType</formula1>
    </dataValidation>
  </dataValidations>
  <pageMargins left="0.7" right="0.7" top="0.75" bottom="0.75" header="0.3" footer="0.3"/>
  <pageSetup scale="46"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rgb="FFFFCC00"/>
  </sheetPr>
  <dimension ref="A1:M53"/>
  <sheetViews>
    <sheetView showGridLines="0" zoomScale="80" zoomScaleNormal="8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70.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 customHeight="1" x14ac:dyDescent="0.3"/>
    <row r="2" spans="2:12" s="158" customFormat="1" ht="129" customHeight="1" thickBot="1" x14ac:dyDescent="0.3">
      <c r="B2" s="96" t="s">
        <v>44</v>
      </c>
      <c r="C2" s="97" t="s">
        <v>45</v>
      </c>
      <c r="D2" s="97" t="s">
        <v>46</v>
      </c>
      <c r="E2" s="97" t="s">
        <v>1133</v>
      </c>
      <c r="F2" s="97" t="s">
        <v>42</v>
      </c>
      <c r="G2" s="98" t="s">
        <v>48</v>
      </c>
      <c r="H2" s="98" t="s">
        <v>49</v>
      </c>
      <c r="I2" s="99" t="s">
        <v>50</v>
      </c>
      <c r="J2" s="99" t="s">
        <v>51</v>
      </c>
      <c r="K2" s="100" t="s">
        <v>14</v>
      </c>
      <c r="L2" s="101" t="s">
        <v>52</v>
      </c>
    </row>
    <row r="3" spans="2:12" ht="16.2" thickBot="1" x14ac:dyDescent="0.35">
      <c r="B3" s="8" t="s">
        <v>1134</v>
      </c>
      <c r="C3" s="8"/>
      <c r="D3" s="8"/>
      <c r="E3" s="8"/>
      <c r="F3" s="8"/>
      <c r="G3" s="34" t="s">
        <v>54</v>
      </c>
      <c r="H3" s="7">
        <f>COUNTA(D4:D501)</f>
        <v>48</v>
      </c>
      <c r="I3" s="24"/>
      <c r="J3" s="25" t="s">
        <v>55</v>
      </c>
      <c r="K3" s="26">
        <f>SUM(K4:K501)</f>
        <v>0</v>
      </c>
      <c r="L3" s="8"/>
    </row>
    <row r="4" spans="2:12" ht="30" customHeight="1" x14ac:dyDescent="0.3">
      <c r="B4" s="37" t="s">
        <v>1135</v>
      </c>
      <c r="C4" s="2">
        <v>1</v>
      </c>
      <c r="D4" s="159" t="s">
        <v>9</v>
      </c>
      <c r="E4" s="163" t="s">
        <v>1136</v>
      </c>
      <c r="F4" s="176" t="s">
        <v>43</v>
      </c>
      <c r="G4" s="177" t="s">
        <v>58</v>
      </c>
      <c r="H4" s="178">
        <f>COUNTIF(F4:F501,"Select from Drop Down")</f>
        <v>48</v>
      </c>
      <c r="I4" s="179">
        <f>VLOOKUP($D4,SpecData,2,FALSE)</f>
        <v>3</v>
      </c>
      <c r="J4" s="180">
        <f>VLOOKUP($F4,AvailabilityData,2,FALSE)</f>
        <v>0</v>
      </c>
      <c r="K4" s="181">
        <f>I4*J4</f>
        <v>0</v>
      </c>
      <c r="L4" s="38"/>
    </row>
    <row r="5" spans="2:12" ht="47.25" customHeight="1" x14ac:dyDescent="0.3">
      <c r="B5" s="37" t="str">
        <f>IF(C5="","",$B$4)</f>
        <v>INCIC</v>
      </c>
      <c r="C5" s="2">
        <v>2</v>
      </c>
      <c r="D5" s="159" t="s">
        <v>9</v>
      </c>
      <c r="E5" s="163" t="s">
        <v>1137</v>
      </c>
      <c r="F5" s="176" t="s">
        <v>43</v>
      </c>
      <c r="G5" s="177" t="s">
        <v>60</v>
      </c>
      <c r="H5" s="178">
        <f>COUNTIF(F4:F501,"Function Available")</f>
        <v>0</v>
      </c>
      <c r="I5" s="179">
        <f>VLOOKUP($D5,SpecData,2,FALSE)</f>
        <v>3</v>
      </c>
      <c r="J5" s="180">
        <f>VLOOKUP($F5,AvailabilityData,2,FALSE)</f>
        <v>0</v>
      </c>
      <c r="K5" s="181">
        <f>I5*J5</f>
        <v>0</v>
      </c>
      <c r="L5" s="38"/>
    </row>
    <row r="6" spans="2:12" ht="30" customHeight="1" x14ac:dyDescent="0.3">
      <c r="B6" s="37" t="str">
        <f t="shared" ref="B6:B52" si="0">IF(C6="","",$B$4)</f>
        <v>INCIC</v>
      </c>
      <c r="C6" s="2">
        <v>3</v>
      </c>
      <c r="D6" s="159" t="s">
        <v>9</v>
      </c>
      <c r="E6" s="163" t="s">
        <v>1276</v>
      </c>
      <c r="F6" s="176" t="s">
        <v>43</v>
      </c>
      <c r="G6" s="177" t="s">
        <v>62</v>
      </c>
      <c r="H6" s="184">
        <f>COUNTIF(F4:F501,"Function Not Available")</f>
        <v>0</v>
      </c>
      <c r="I6" s="179">
        <f t="shared" ref="I6:I12" si="1">VLOOKUP($D6,SpecData,2,FALSE)</f>
        <v>3</v>
      </c>
      <c r="J6" s="180">
        <f t="shared" ref="J6:J12" si="2">VLOOKUP($F6,AvailabilityData,2,FALSE)</f>
        <v>0</v>
      </c>
      <c r="K6" s="220">
        <f t="shared" ref="K6:K12" si="3">I6*J6</f>
        <v>0</v>
      </c>
      <c r="L6" s="38"/>
    </row>
    <row r="7" spans="2:12" ht="30" customHeight="1" x14ac:dyDescent="0.3">
      <c r="B7" s="37" t="str">
        <f t="shared" si="0"/>
        <v>INCIC</v>
      </c>
      <c r="C7" s="2">
        <f>IF(ISTEXT(D7),MAX($C$6:$C6)+1,"")</f>
        <v>4</v>
      </c>
      <c r="D7" s="159" t="s">
        <v>9</v>
      </c>
      <c r="E7" s="163" t="s">
        <v>1138</v>
      </c>
      <c r="F7" s="176" t="s">
        <v>43</v>
      </c>
      <c r="G7" s="177" t="s">
        <v>64</v>
      </c>
      <c r="H7" s="184">
        <f>COUNTIF(F4:F501,"Exception")</f>
        <v>0</v>
      </c>
      <c r="I7" s="179">
        <f t="shared" si="1"/>
        <v>3</v>
      </c>
      <c r="J7" s="180">
        <f t="shared" si="2"/>
        <v>0</v>
      </c>
      <c r="K7" s="181">
        <f t="shared" si="3"/>
        <v>0</v>
      </c>
      <c r="L7" s="38"/>
    </row>
    <row r="8" spans="2:12" ht="30" customHeight="1" x14ac:dyDescent="0.3">
      <c r="B8" s="37" t="str">
        <f t="shared" si="0"/>
        <v>INCIC</v>
      </c>
      <c r="C8" s="2">
        <f>IF(ISTEXT(D8),MAX($C$6:$C7)+1,"")</f>
        <v>5</v>
      </c>
      <c r="D8" s="159" t="s">
        <v>9</v>
      </c>
      <c r="E8" s="235" t="s">
        <v>1139</v>
      </c>
      <c r="F8" s="176" t="s">
        <v>43</v>
      </c>
      <c r="G8" s="177" t="s">
        <v>66</v>
      </c>
      <c r="H8" s="185">
        <f>COUNTIFS(D:D,"=Crucial",F:F,"=Select From Drop Down")</f>
        <v>41</v>
      </c>
      <c r="I8" s="179">
        <f t="shared" si="1"/>
        <v>3</v>
      </c>
      <c r="J8" s="180">
        <f t="shared" si="2"/>
        <v>0</v>
      </c>
      <c r="K8" s="220">
        <f t="shared" si="3"/>
        <v>0</v>
      </c>
      <c r="L8" s="38"/>
    </row>
    <row r="9" spans="2:12" ht="30" customHeight="1" x14ac:dyDescent="0.3">
      <c r="B9" s="37" t="str">
        <f t="shared" si="0"/>
        <v>INCIC</v>
      </c>
      <c r="C9" s="2">
        <f>IF(ISTEXT(D9),MAX($C$6:$C8)+1,"")</f>
        <v>6</v>
      </c>
      <c r="D9" s="159" t="s">
        <v>9</v>
      </c>
      <c r="E9" s="235" t="s">
        <v>1140</v>
      </c>
      <c r="F9" s="176" t="s">
        <v>43</v>
      </c>
      <c r="G9" s="177" t="s">
        <v>68</v>
      </c>
      <c r="H9" s="185">
        <f>COUNTIFS(D:D,"=Crucial",F:F,"=Function Available")</f>
        <v>0</v>
      </c>
      <c r="I9" s="179">
        <f t="shared" si="1"/>
        <v>3</v>
      </c>
      <c r="J9" s="180">
        <f t="shared" si="2"/>
        <v>0</v>
      </c>
      <c r="K9" s="220">
        <f t="shared" si="3"/>
        <v>0</v>
      </c>
      <c r="L9" s="38"/>
    </row>
    <row r="10" spans="2:12" ht="30" customHeight="1" x14ac:dyDescent="0.3">
      <c r="B10" s="37" t="str">
        <f t="shared" si="0"/>
        <v>INCIC</v>
      </c>
      <c r="C10" s="2">
        <f>IF(ISTEXT(D10),MAX($C$6:$C9)+1,"")</f>
        <v>7</v>
      </c>
      <c r="D10" s="159" t="s">
        <v>9</v>
      </c>
      <c r="E10" s="235" t="s">
        <v>1141</v>
      </c>
      <c r="F10" s="176" t="s">
        <v>43</v>
      </c>
      <c r="G10" s="177" t="s">
        <v>70</v>
      </c>
      <c r="H10" s="185">
        <f>COUNTIFS(D:D,"=Crucial",F:F,"=Function Not Available")</f>
        <v>0</v>
      </c>
      <c r="I10" s="179">
        <f t="shared" si="1"/>
        <v>3</v>
      </c>
      <c r="J10" s="180">
        <f t="shared" si="2"/>
        <v>0</v>
      </c>
      <c r="K10" s="220">
        <f t="shared" si="3"/>
        <v>0</v>
      </c>
      <c r="L10" s="38"/>
    </row>
    <row r="11" spans="2:12" ht="30" customHeight="1" x14ac:dyDescent="0.3">
      <c r="B11" s="37" t="str">
        <f t="shared" si="0"/>
        <v>INCIC</v>
      </c>
      <c r="C11" s="2">
        <f>IF(ISTEXT(D11),MAX($C$6:$C10)+1,"")</f>
        <v>8</v>
      </c>
      <c r="D11" s="159" t="s">
        <v>9</v>
      </c>
      <c r="E11" s="235" t="s">
        <v>1142</v>
      </c>
      <c r="F11" s="176" t="s">
        <v>43</v>
      </c>
      <c r="G11" s="192" t="s">
        <v>72</v>
      </c>
      <c r="H11" s="221">
        <f>COUNTIFS(D:D,"=Crucial",F:F,"=Exception")</f>
        <v>0</v>
      </c>
      <c r="I11" s="222">
        <f t="shared" si="1"/>
        <v>3</v>
      </c>
      <c r="J11" s="223">
        <f t="shared" si="2"/>
        <v>0</v>
      </c>
      <c r="K11" s="224">
        <f t="shared" si="3"/>
        <v>0</v>
      </c>
      <c r="L11" s="41"/>
    </row>
    <row r="12" spans="2:12" ht="30" customHeight="1" x14ac:dyDescent="0.3">
      <c r="B12" s="37" t="str">
        <f t="shared" si="0"/>
        <v>INCIC</v>
      </c>
      <c r="C12" s="2">
        <f>IF(ISTEXT(D12),MAX($C$6:$C11)+1,"")</f>
        <v>9</v>
      </c>
      <c r="D12" s="159" t="s">
        <v>10</v>
      </c>
      <c r="E12" s="235" t="s">
        <v>1143</v>
      </c>
      <c r="F12" s="176" t="s">
        <v>43</v>
      </c>
      <c r="G12" s="229" t="s">
        <v>74</v>
      </c>
      <c r="H12" s="230">
        <f>COUNTIFS(D:D,"=Important",F:F,"=Select From Drop Down")</f>
        <v>2</v>
      </c>
      <c r="I12" s="231">
        <f t="shared" si="1"/>
        <v>2</v>
      </c>
      <c r="J12" s="232">
        <f t="shared" si="2"/>
        <v>0</v>
      </c>
      <c r="K12" s="233">
        <f t="shared" si="3"/>
        <v>0</v>
      </c>
      <c r="L12" s="42"/>
    </row>
    <row r="13" spans="2:12" ht="30" customHeight="1" x14ac:dyDescent="0.3">
      <c r="B13" s="40" t="str">
        <f t="shared" si="0"/>
        <v/>
      </c>
      <c r="C13" s="1" t="str">
        <f>IF(ISTEXT(D13),MAX($C$6:$C12)+1,"")</f>
        <v/>
      </c>
      <c r="D13" s="3"/>
      <c r="E13" s="203" t="s">
        <v>1144</v>
      </c>
      <c r="F13" s="115"/>
      <c r="G13" s="31"/>
      <c r="H13" s="31"/>
      <c r="I13" s="31"/>
      <c r="J13" s="31"/>
      <c r="K13" s="31"/>
      <c r="L13" s="31"/>
    </row>
    <row r="14" spans="2:12" ht="30" customHeight="1" x14ac:dyDescent="0.3">
      <c r="B14" s="37" t="str">
        <f t="shared" si="0"/>
        <v>INCIC</v>
      </c>
      <c r="C14" s="2">
        <f>IF(ISTEXT(D14),MAX($C$6:$C12)+1,"")</f>
        <v>10</v>
      </c>
      <c r="D14" s="159" t="s">
        <v>9</v>
      </c>
      <c r="E14" s="227" t="s">
        <v>1145</v>
      </c>
      <c r="F14" s="176" t="s">
        <v>43</v>
      </c>
      <c r="G14" s="186" t="s">
        <v>76</v>
      </c>
      <c r="H14" s="187">
        <f>COUNTIFS(D:D,"=Important",F:F,"=Function Available")</f>
        <v>0</v>
      </c>
      <c r="I14" s="179">
        <f t="shared" ref="I14:I25" si="4">VLOOKUP($D14,SpecData,2,FALSE)</f>
        <v>3</v>
      </c>
      <c r="J14" s="180">
        <f t="shared" ref="J14:J25" si="5">VLOOKUP($F14,AvailabilityData,2,FALSE)</f>
        <v>0</v>
      </c>
      <c r="K14" s="181">
        <f t="shared" ref="K14:K33" si="6">I14*J14</f>
        <v>0</v>
      </c>
      <c r="L14" s="44"/>
    </row>
    <row r="15" spans="2:12" ht="30" customHeight="1" x14ac:dyDescent="0.3">
      <c r="B15" s="37" t="str">
        <f t="shared" si="0"/>
        <v>INCIC</v>
      </c>
      <c r="C15" s="2">
        <f>IF(ISTEXT(D15),MAX($C$6:$C14)+1,"")</f>
        <v>11</v>
      </c>
      <c r="D15" s="159" t="s">
        <v>9</v>
      </c>
      <c r="E15" s="227" t="s">
        <v>1146</v>
      </c>
      <c r="F15" s="176" t="s">
        <v>43</v>
      </c>
      <c r="G15" s="177" t="s">
        <v>78</v>
      </c>
      <c r="H15" s="185">
        <f>COUNTIFS(D:D,"=Important",F:F,"=Function Not Available")</f>
        <v>0</v>
      </c>
      <c r="I15" s="188">
        <f t="shared" si="4"/>
        <v>3</v>
      </c>
      <c r="J15" s="189">
        <f t="shared" si="5"/>
        <v>0</v>
      </c>
      <c r="K15" s="220">
        <f t="shared" si="6"/>
        <v>0</v>
      </c>
      <c r="L15" s="38"/>
    </row>
    <row r="16" spans="2:12" ht="30" customHeight="1" x14ac:dyDescent="0.3">
      <c r="B16" s="37" t="str">
        <f t="shared" si="0"/>
        <v>INCIC</v>
      </c>
      <c r="C16" s="2">
        <f>IF(ISTEXT(D16),MAX($C$6:$C15)+1,"")</f>
        <v>12</v>
      </c>
      <c r="D16" s="159" t="s">
        <v>9</v>
      </c>
      <c r="E16" s="227" t="s">
        <v>1147</v>
      </c>
      <c r="F16" s="176" t="s">
        <v>43</v>
      </c>
      <c r="G16" s="177" t="s">
        <v>80</v>
      </c>
      <c r="H16" s="185">
        <f>COUNTIFS(D:D,"=Important",F:F,"=Exception")</f>
        <v>0</v>
      </c>
      <c r="I16" s="188">
        <f t="shared" si="4"/>
        <v>3</v>
      </c>
      <c r="J16" s="189">
        <f t="shared" si="5"/>
        <v>0</v>
      </c>
      <c r="K16" s="220">
        <f t="shared" si="6"/>
        <v>0</v>
      </c>
      <c r="L16" s="38"/>
    </row>
    <row r="17" spans="2:12" ht="30" customHeight="1" x14ac:dyDescent="0.3">
      <c r="B17" s="37" t="str">
        <f t="shared" si="0"/>
        <v>INCIC</v>
      </c>
      <c r="C17" s="2">
        <f>IF(ISTEXT(D17),MAX($C$6:$C16)+1,"")</f>
        <v>13</v>
      </c>
      <c r="D17" s="159" t="s">
        <v>9</v>
      </c>
      <c r="E17" s="227" t="s">
        <v>1148</v>
      </c>
      <c r="F17" s="176" t="s">
        <v>43</v>
      </c>
      <c r="G17" s="177" t="s">
        <v>82</v>
      </c>
      <c r="H17" s="185">
        <f>COUNTIFS(D:D,"=Minimal",F:F,"=Select From Drop Down")</f>
        <v>5</v>
      </c>
      <c r="I17" s="188">
        <f t="shared" si="4"/>
        <v>3</v>
      </c>
      <c r="J17" s="189">
        <f t="shared" si="5"/>
        <v>0</v>
      </c>
      <c r="K17" s="220">
        <f t="shared" si="6"/>
        <v>0</v>
      </c>
      <c r="L17" s="38"/>
    </row>
    <row r="18" spans="2:12" ht="30" customHeight="1" x14ac:dyDescent="0.3">
      <c r="B18" s="37" t="str">
        <f t="shared" si="0"/>
        <v>INCIC</v>
      </c>
      <c r="C18" s="2">
        <f>IF(ISTEXT(D18),MAX($C$6:$C17)+1,"")</f>
        <v>14</v>
      </c>
      <c r="D18" s="159" t="s">
        <v>9</v>
      </c>
      <c r="E18" s="227" t="s">
        <v>1149</v>
      </c>
      <c r="F18" s="176" t="s">
        <v>43</v>
      </c>
      <c r="G18" s="177" t="s">
        <v>84</v>
      </c>
      <c r="H18" s="185">
        <f>COUNTIFS(D:D,"=Minimal",F:F,"=Function Available")</f>
        <v>0</v>
      </c>
      <c r="I18" s="188">
        <f t="shared" si="4"/>
        <v>3</v>
      </c>
      <c r="J18" s="189">
        <f t="shared" si="5"/>
        <v>0</v>
      </c>
      <c r="K18" s="220">
        <f t="shared" si="6"/>
        <v>0</v>
      </c>
      <c r="L18" s="38"/>
    </row>
    <row r="19" spans="2:12" ht="30" customHeight="1" x14ac:dyDescent="0.3">
      <c r="B19" s="37" t="str">
        <f t="shared" si="0"/>
        <v>INCIC</v>
      </c>
      <c r="C19" s="2">
        <f>IF(ISTEXT(D19),MAX($C$6:$C18)+1,"")</f>
        <v>15</v>
      </c>
      <c r="D19" s="159" t="s">
        <v>11</v>
      </c>
      <c r="E19" s="227" t="s">
        <v>1150</v>
      </c>
      <c r="F19" s="176" t="s">
        <v>43</v>
      </c>
      <c r="G19" s="177" t="s">
        <v>86</v>
      </c>
      <c r="H19" s="185">
        <f>COUNTIFS(D:D,"=Minimal",F:F,"=Function Not Available")</f>
        <v>0</v>
      </c>
      <c r="I19" s="188">
        <f t="shared" si="4"/>
        <v>1</v>
      </c>
      <c r="J19" s="189">
        <f t="shared" si="5"/>
        <v>0</v>
      </c>
      <c r="K19" s="220">
        <f t="shared" si="6"/>
        <v>0</v>
      </c>
      <c r="L19" s="38"/>
    </row>
    <row r="20" spans="2:12" ht="30" customHeight="1" x14ac:dyDescent="0.3">
      <c r="B20" s="37" t="str">
        <f t="shared" si="0"/>
        <v>INCIC</v>
      </c>
      <c r="C20" s="2">
        <f>IF(ISTEXT(D20),MAX($C$6:$C19)+1,"")</f>
        <v>16</v>
      </c>
      <c r="D20" s="159" t="s">
        <v>9</v>
      </c>
      <c r="E20" s="227" t="s">
        <v>1151</v>
      </c>
      <c r="F20" s="176" t="s">
        <v>43</v>
      </c>
      <c r="G20" s="177" t="s">
        <v>88</v>
      </c>
      <c r="H20" s="185">
        <f>COUNTIFS(D:D,"=Minimal",F:F,"=Exception")</f>
        <v>0</v>
      </c>
      <c r="I20" s="188">
        <f t="shared" si="4"/>
        <v>3</v>
      </c>
      <c r="J20" s="189">
        <f t="shared" si="5"/>
        <v>0</v>
      </c>
      <c r="K20" s="220">
        <f t="shared" si="6"/>
        <v>0</v>
      </c>
      <c r="L20" s="38"/>
    </row>
    <row r="21" spans="2:12" ht="30" customHeight="1" x14ac:dyDescent="0.3">
      <c r="B21" s="37" t="str">
        <f t="shared" si="0"/>
        <v>INCIC</v>
      </c>
      <c r="C21" s="2">
        <f>IF(ISTEXT(D21),MAX($C$6:$C20)+1,"")</f>
        <v>17</v>
      </c>
      <c r="D21" s="159" t="s">
        <v>9</v>
      </c>
      <c r="E21" s="227" t="s">
        <v>1152</v>
      </c>
      <c r="F21" s="176" t="s">
        <v>43</v>
      </c>
      <c r="G21" s="177"/>
      <c r="H21" s="184"/>
      <c r="I21" s="188">
        <f t="shared" si="4"/>
        <v>3</v>
      </c>
      <c r="J21" s="189">
        <f t="shared" si="5"/>
        <v>0</v>
      </c>
      <c r="K21" s="220">
        <f t="shared" si="6"/>
        <v>0</v>
      </c>
      <c r="L21" s="38"/>
    </row>
    <row r="22" spans="2:12" ht="63.75" customHeight="1" x14ac:dyDescent="0.3">
      <c r="B22" s="37" t="str">
        <f t="shared" si="0"/>
        <v>INCIC</v>
      </c>
      <c r="C22" s="2">
        <f>IF(ISTEXT(D22),MAX($C$6:$C21)+1,"")</f>
        <v>18</v>
      </c>
      <c r="D22" s="159" t="s">
        <v>9</v>
      </c>
      <c r="E22" s="163" t="s">
        <v>1153</v>
      </c>
      <c r="F22" s="176" t="s">
        <v>43</v>
      </c>
      <c r="G22" s="177"/>
      <c r="H22" s="184"/>
      <c r="I22" s="188">
        <f t="shared" si="4"/>
        <v>3</v>
      </c>
      <c r="J22" s="189">
        <f t="shared" si="5"/>
        <v>0</v>
      </c>
      <c r="K22" s="220">
        <f t="shared" si="6"/>
        <v>0</v>
      </c>
      <c r="L22" s="38"/>
    </row>
    <row r="23" spans="2:12" ht="45.75" customHeight="1" x14ac:dyDescent="0.3">
      <c r="B23" s="37" t="str">
        <f t="shared" si="0"/>
        <v>INCIC</v>
      </c>
      <c r="C23" s="2">
        <f>IF(ISTEXT(D23),MAX($C$6:$C22)+1,"")</f>
        <v>19</v>
      </c>
      <c r="D23" s="159" t="s">
        <v>10</v>
      </c>
      <c r="E23" s="163" t="s">
        <v>1154</v>
      </c>
      <c r="F23" s="176" t="s">
        <v>43</v>
      </c>
      <c r="G23" s="177"/>
      <c r="H23" s="184"/>
      <c r="I23" s="188">
        <f t="shared" si="4"/>
        <v>2</v>
      </c>
      <c r="J23" s="189">
        <f t="shared" si="5"/>
        <v>0</v>
      </c>
      <c r="K23" s="220">
        <f t="shared" si="6"/>
        <v>0</v>
      </c>
      <c r="L23" s="38"/>
    </row>
    <row r="24" spans="2:12" ht="63.75" customHeight="1" x14ac:dyDescent="0.3">
      <c r="B24" s="37" t="str">
        <f t="shared" si="0"/>
        <v>INCIC</v>
      </c>
      <c r="C24" s="2">
        <f>IF(ISTEXT(D24),MAX($C$6:$C23)+1,"")</f>
        <v>20</v>
      </c>
      <c r="D24" s="159" t="s">
        <v>9</v>
      </c>
      <c r="E24" s="163" t="s">
        <v>1155</v>
      </c>
      <c r="F24" s="176" t="s">
        <v>43</v>
      </c>
      <c r="G24" s="177"/>
      <c r="H24" s="184"/>
      <c r="I24" s="188">
        <f t="shared" si="4"/>
        <v>3</v>
      </c>
      <c r="J24" s="189">
        <f t="shared" si="5"/>
        <v>0</v>
      </c>
      <c r="K24" s="220">
        <f t="shared" si="6"/>
        <v>0</v>
      </c>
      <c r="L24" s="38"/>
    </row>
    <row r="25" spans="2:12" ht="30" customHeight="1" x14ac:dyDescent="0.3">
      <c r="B25" s="37" t="str">
        <f t="shared" si="0"/>
        <v>INCIC</v>
      </c>
      <c r="C25" s="2">
        <f>IF(ISTEXT(D25),MAX($C$6:$C24)+1,"")</f>
        <v>21</v>
      </c>
      <c r="D25" s="159" t="s">
        <v>9</v>
      </c>
      <c r="E25" s="163" t="s">
        <v>1156</v>
      </c>
      <c r="F25" s="176" t="s">
        <v>43</v>
      </c>
      <c r="G25" s="192"/>
      <c r="H25" s="193"/>
      <c r="I25" s="190">
        <f t="shared" si="4"/>
        <v>3</v>
      </c>
      <c r="J25" s="191">
        <f t="shared" si="5"/>
        <v>0</v>
      </c>
      <c r="K25" s="224">
        <f t="shared" si="6"/>
        <v>0</v>
      </c>
      <c r="L25" s="38"/>
    </row>
    <row r="26" spans="2:12" ht="30" customHeight="1" x14ac:dyDescent="0.3">
      <c r="B26" s="37" t="str">
        <f t="shared" si="0"/>
        <v>INCIC</v>
      </c>
      <c r="C26" s="2">
        <f>IF(ISTEXT(D26),MAX($C$6:$C25)+1,"")</f>
        <v>22</v>
      </c>
      <c r="D26" s="159" t="s">
        <v>9</v>
      </c>
      <c r="E26" s="163" t="s">
        <v>1157</v>
      </c>
      <c r="F26" s="176" t="s">
        <v>43</v>
      </c>
      <c r="G26" s="186"/>
      <c r="H26" s="234"/>
      <c r="I26" s="179">
        <f t="shared" ref="I26:I33" si="7">VLOOKUP($D26,SpecData,2,FALSE)</f>
        <v>3</v>
      </c>
      <c r="J26" s="180">
        <f t="shared" ref="J26:J33" si="8">VLOOKUP($F26,AvailabilityData,2,FALSE)</f>
        <v>0</v>
      </c>
      <c r="K26" s="181">
        <f t="shared" si="6"/>
        <v>0</v>
      </c>
      <c r="L26" s="38"/>
    </row>
    <row r="27" spans="2:12" ht="44.25" customHeight="1" x14ac:dyDescent="0.3">
      <c r="B27" s="37" t="str">
        <f t="shared" si="0"/>
        <v>INCIC</v>
      </c>
      <c r="C27" s="2">
        <f>IF(ISTEXT(D27),MAX($C$6:$C26)+1,"")</f>
        <v>23</v>
      </c>
      <c r="D27" s="159" t="s">
        <v>9</v>
      </c>
      <c r="E27" s="256" t="s">
        <v>1158</v>
      </c>
      <c r="F27" s="176" t="s">
        <v>43</v>
      </c>
      <c r="G27" s="177"/>
      <c r="H27" s="184"/>
      <c r="I27" s="188">
        <f t="shared" si="7"/>
        <v>3</v>
      </c>
      <c r="J27" s="189">
        <f t="shared" si="8"/>
        <v>0</v>
      </c>
      <c r="K27" s="220">
        <f t="shared" si="6"/>
        <v>0</v>
      </c>
      <c r="L27" s="38"/>
    </row>
    <row r="28" spans="2:12" ht="44.25" customHeight="1" x14ac:dyDescent="0.3">
      <c r="B28" s="37" t="str">
        <f t="shared" si="0"/>
        <v>INCIC</v>
      </c>
      <c r="C28" s="2">
        <f>IF(ISTEXT(D28),MAX($C$6:$C27)+1,"")</f>
        <v>24</v>
      </c>
      <c r="D28" s="159" t="s">
        <v>9</v>
      </c>
      <c r="E28" s="163" t="s">
        <v>1159</v>
      </c>
      <c r="F28" s="176" t="s">
        <v>43</v>
      </c>
      <c r="G28" s="177"/>
      <c r="H28" s="184"/>
      <c r="I28" s="188">
        <f t="shared" si="7"/>
        <v>3</v>
      </c>
      <c r="J28" s="189">
        <f t="shared" si="8"/>
        <v>0</v>
      </c>
      <c r="K28" s="220">
        <f t="shared" si="6"/>
        <v>0</v>
      </c>
      <c r="L28" s="38"/>
    </row>
    <row r="29" spans="2:12" ht="44.25" customHeight="1" x14ac:dyDescent="0.3">
      <c r="B29" s="37" t="str">
        <f t="shared" si="0"/>
        <v>INCIC</v>
      </c>
      <c r="C29" s="2">
        <f>IF(ISTEXT(D29),MAX($C$6:$C28)+1,"")</f>
        <v>25</v>
      </c>
      <c r="D29" s="159" t="s">
        <v>9</v>
      </c>
      <c r="E29" s="163" t="s">
        <v>1160</v>
      </c>
      <c r="F29" s="176" t="s">
        <v>43</v>
      </c>
      <c r="G29" s="177"/>
      <c r="H29" s="184"/>
      <c r="I29" s="188">
        <f t="shared" si="7"/>
        <v>3</v>
      </c>
      <c r="J29" s="189">
        <f t="shared" si="8"/>
        <v>0</v>
      </c>
      <c r="K29" s="220">
        <f t="shared" si="6"/>
        <v>0</v>
      </c>
      <c r="L29" s="38"/>
    </row>
    <row r="30" spans="2:12" ht="44.25" customHeight="1" x14ac:dyDescent="0.3">
      <c r="B30" s="37" t="str">
        <f t="shared" si="0"/>
        <v>INCIC</v>
      </c>
      <c r="C30" s="2">
        <f>IF(ISTEXT(D30),MAX($C$6:$C29)+1,"")</f>
        <v>26</v>
      </c>
      <c r="D30" s="159" t="s">
        <v>9</v>
      </c>
      <c r="E30" s="163" t="s">
        <v>1161</v>
      </c>
      <c r="F30" s="176" t="s">
        <v>43</v>
      </c>
      <c r="G30" s="177"/>
      <c r="H30" s="184"/>
      <c r="I30" s="188">
        <f t="shared" si="7"/>
        <v>3</v>
      </c>
      <c r="J30" s="189">
        <f t="shared" si="8"/>
        <v>0</v>
      </c>
      <c r="K30" s="220">
        <f t="shared" si="6"/>
        <v>0</v>
      </c>
      <c r="L30" s="38"/>
    </row>
    <row r="31" spans="2:12" ht="44.25" customHeight="1" x14ac:dyDescent="0.3">
      <c r="B31" s="37" t="str">
        <f t="shared" si="0"/>
        <v>INCIC</v>
      </c>
      <c r="C31" s="2">
        <f>IF(ISTEXT(D31),MAX($C$6:$C30)+1,"")</f>
        <v>27</v>
      </c>
      <c r="D31" s="159" t="s">
        <v>9</v>
      </c>
      <c r="E31" s="163" t="s">
        <v>1162</v>
      </c>
      <c r="F31" s="176" t="s">
        <v>43</v>
      </c>
      <c r="G31" s="177"/>
      <c r="H31" s="184"/>
      <c r="I31" s="188">
        <f t="shared" si="7"/>
        <v>3</v>
      </c>
      <c r="J31" s="189">
        <f t="shared" si="8"/>
        <v>0</v>
      </c>
      <c r="K31" s="220">
        <f t="shared" si="6"/>
        <v>0</v>
      </c>
      <c r="L31" s="38"/>
    </row>
    <row r="32" spans="2:12" ht="30" customHeight="1" x14ac:dyDescent="0.3">
      <c r="B32" s="37" t="str">
        <f t="shared" si="0"/>
        <v>INCIC</v>
      </c>
      <c r="C32" s="2">
        <f>IF(ISTEXT(D32),MAX($C$6:$C31)+1,"")</f>
        <v>28</v>
      </c>
      <c r="D32" s="159" t="s">
        <v>9</v>
      </c>
      <c r="E32" s="163" t="s">
        <v>1163</v>
      </c>
      <c r="F32" s="176" t="s">
        <v>43</v>
      </c>
      <c r="G32" s="177"/>
      <c r="H32" s="184"/>
      <c r="I32" s="188">
        <f t="shared" si="7"/>
        <v>3</v>
      </c>
      <c r="J32" s="189">
        <f t="shared" si="8"/>
        <v>0</v>
      </c>
      <c r="K32" s="220">
        <f t="shared" si="6"/>
        <v>0</v>
      </c>
      <c r="L32" s="38"/>
    </row>
    <row r="33" spans="2:12" ht="30" customHeight="1" x14ac:dyDescent="0.3">
      <c r="B33" s="37" t="str">
        <f t="shared" si="0"/>
        <v>INCIC</v>
      </c>
      <c r="C33" s="2">
        <f>IF(ISTEXT(D33),MAX($C$6:$C32)+1,"")</f>
        <v>29</v>
      </c>
      <c r="D33" s="159" t="s">
        <v>9</v>
      </c>
      <c r="E33" s="163" t="s">
        <v>1164</v>
      </c>
      <c r="F33" s="176" t="s">
        <v>43</v>
      </c>
      <c r="G33" s="177"/>
      <c r="H33" s="184"/>
      <c r="I33" s="188">
        <f t="shared" si="7"/>
        <v>3</v>
      </c>
      <c r="J33" s="189">
        <f t="shared" si="8"/>
        <v>0</v>
      </c>
      <c r="K33" s="220">
        <f t="shared" si="6"/>
        <v>0</v>
      </c>
      <c r="L33" s="38"/>
    </row>
    <row r="34" spans="2:12" ht="30" customHeight="1" x14ac:dyDescent="0.3">
      <c r="B34" s="37" t="str">
        <f t="shared" si="0"/>
        <v>INCIC</v>
      </c>
      <c r="C34" s="2">
        <f>IF(ISTEXT(D34),MAX($C$6:$C33)+1,"")</f>
        <v>30</v>
      </c>
      <c r="D34" s="159" t="s">
        <v>9</v>
      </c>
      <c r="E34" s="163" t="s">
        <v>1165</v>
      </c>
      <c r="F34" s="176" t="s">
        <v>43</v>
      </c>
      <c r="G34" s="177"/>
      <c r="H34" s="184"/>
      <c r="I34" s="188">
        <f t="shared" ref="I34:I39" si="9">VLOOKUP($D34,SpecData,2,FALSE)</f>
        <v>3</v>
      </c>
      <c r="J34" s="189">
        <f t="shared" ref="J34:J39" si="10">VLOOKUP($F34,AvailabilityData,2,FALSE)</f>
        <v>0</v>
      </c>
      <c r="K34" s="220">
        <f>I34*J34</f>
        <v>0</v>
      </c>
      <c r="L34" s="38"/>
    </row>
    <row r="35" spans="2:12" ht="30" customHeight="1" x14ac:dyDescent="0.3">
      <c r="B35" s="37" t="str">
        <f t="shared" si="0"/>
        <v>INCIC</v>
      </c>
      <c r="C35" s="2">
        <f>IF(ISTEXT(D35),MAX($C$6:$C34)+1,"")</f>
        <v>31</v>
      </c>
      <c r="D35" s="159" t="s">
        <v>9</v>
      </c>
      <c r="E35" s="163" t="s">
        <v>1166</v>
      </c>
      <c r="F35" s="176" t="s">
        <v>43</v>
      </c>
      <c r="G35" s="177"/>
      <c r="H35" s="184"/>
      <c r="I35" s="188">
        <f t="shared" si="9"/>
        <v>3</v>
      </c>
      <c r="J35" s="189">
        <f t="shared" si="10"/>
        <v>0</v>
      </c>
      <c r="K35" s="220">
        <f t="shared" ref="K35:K39" si="11">I35*J35</f>
        <v>0</v>
      </c>
      <c r="L35" s="38"/>
    </row>
    <row r="36" spans="2:12" ht="30" customHeight="1" x14ac:dyDescent="0.3">
      <c r="B36" s="37" t="str">
        <f t="shared" si="0"/>
        <v>INCIC</v>
      </c>
      <c r="C36" s="2">
        <f>IF(ISTEXT(D36),MAX($C$6:$C35)+1,"")</f>
        <v>32</v>
      </c>
      <c r="D36" s="159" t="s">
        <v>9</v>
      </c>
      <c r="E36" s="163" t="s">
        <v>1167</v>
      </c>
      <c r="F36" s="176" t="s">
        <v>43</v>
      </c>
      <c r="G36" s="177"/>
      <c r="H36" s="184"/>
      <c r="I36" s="188">
        <f t="shared" si="9"/>
        <v>3</v>
      </c>
      <c r="J36" s="189">
        <f t="shared" si="10"/>
        <v>0</v>
      </c>
      <c r="K36" s="220">
        <f t="shared" si="11"/>
        <v>0</v>
      </c>
      <c r="L36" s="38"/>
    </row>
    <row r="37" spans="2:12" ht="30" customHeight="1" x14ac:dyDescent="0.3">
      <c r="B37" s="37" t="str">
        <f t="shared" si="0"/>
        <v>INCIC</v>
      </c>
      <c r="C37" s="2">
        <f>IF(ISTEXT(D37),MAX($C$6:$C36)+1,"")</f>
        <v>33</v>
      </c>
      <c r="D37" s="159" t="s">
        <v>9</v>
      </c>
      <c r="E37" s="163" t="s">
        <v>1168</v>
      </c>
      <c r="F37" s="176" t="s">
        <v>43</v>
      </c>
      <c r="G37" s="177"/>
      <c r="H37" s="184"/>
      <c r="I37" s="188">
        <f t="shared" si="9"/>
        <v>3</v>
      </c>
      <c r="J37" s="189">
        <f t="shared" si="10"/>
        <v>0</v>
      </c>
      <c r="K37" s="220">
        <f t="shared" si="11"/>
        <v>0</v>
      </c>
      <c r="L37" s="38"/>
    </row>
    <row r="38" spans="2:12" ht="30" customHeight="1" x14ac:dyDescent="0.3">
      <c r="B38" s="37" t="str">
        <f t="shared" si="0"/>
        <v>INCIC</v>
      </c>
      <c r="C38" s="2">
        <f>IF(ISTEXT(D38),MAX($C$6:$C37)+1,"")</f>
        <v>34</v>
      </c>
      <c r="D38" s="159" t="s">
        <v>9</v>
      </c>
      <c r="E38" s="163" t="s">
        <v>1169</v>
      </c>
      <c r="F38" s="176" t="s">
        <v>43</v>
      </c>
      <c r="G38" s="177"/>
      <c r="H38" s="184"/>
      <c r="I38" s="188">
        <f t="shared" si="9"/>
        <v>3</v>
      </c>
      <c r="J38" s="189">
        <f t="shared" si="10"/>
        <v>0</v>
      </c>
      <c r="K38" s="220">
        <f t="shared" si="11"/>
        <v>0</v>
      </c>
      <c r="L38" s="38"/>
    </row>
    <row r="39" spans="2:12" ht="30" customHeight="1" x14ac:dyDescent="0.3">
      <c r="B39" s="37" t="str">
        <f t="shared" si="0"/>
        <v>INCIC</v>
      </c>
      <c r="C39" s="2">
        <f>IF(ISTEXT(D39),MAX($C$6:$C38)+1,"")</f>
        <v>35</v>
      </c>
      <c r="D39" s="159" t="s">
        <v>9</v>
      </c>
      <c r="E39" s="163" t="s">
        <v>1170</v>
      </c>
      <c r="F39" s="176" t="s">
        <v>43</v>
      </c>
      <c r="G39" s="177"/>
      <c r="H39" s="184"/>
      <c r="I39" s="188">
        <f t="shared" si="9"/>
        <v>3</v>
      </c>
      <c r="J39" s="189">
        <f t="shared" si="10"/>
        <v>0</v>
      </c>
      <c r="K39" s="220">
        <f t="shared" si="11"/>
        <v>0</v>
      </c>
      <c r="L39" s="39"/>
    </row>
    <row r="40" spans="2:12" ht="30" customHeight="1" x14ac:dyDescent="0.3">
      <c r="B40" s="37" t="str">
        <f t="shared" si="0"/>
        <v>INCIC</v>
      </c>
      <c r="C40" s="2">
        <f>IF(ISTEXT(D40),MAX($C$6:$C39)+1,"")</f>
        <v>36</v>
      </c>
      <c r="D40" s="159" t="s">
        <v>9</v>
      </c>
      <c r="E40" s="163" t="s">
        <v>1171</v>
      </c>
      <c r="F40" s="176" t="s">
        <v>43</v>
      </c>
      <c r="G40" s="177"/>
      <c r="H40" s="184"/>
      <c r="I40" s="188">
        <f t="shared" ref="I40:I52" si="12">VLOOKUP($D40,SpecData,2,FALSE)</f>
        <v>3</v>
      </c>
      <c r="J40" s="189">
        <f t="shared" ref="J40:J52" si="13">VLOOKUP($F40,AvailabilityData,2,FALSE)</f>
        <v>0</v>
      </c>
      <c r="K40" s="220">
        <f>I40*J40</f>
        <v>0</v>
      </c>
      <c r="L40" s="38"/>
    </row>
    <row r="41" spans="2:12" ht="30" customHeight="1" x14ac:dyDescent="0.3">
      <c r="B41" s="37" t="str">
        <f t="shared" si="0"/>
        <v>INCIC</v>
      </c>
      <c r="C41" s="2">
        <f>IF(ISTEXT(D41),MAX($C$6:$C40)+1,"")</f>
        <v>37</v>
      </c>
      <c r="D41" s="159" t="s">
        <v>9</v>
      </c>
      <c r="E41" s="163" t="s">
        <v>1172</v>
      </c>
      <c r="F41" s="176" t="s">
        <v>43</v>
      </c>
      <c r="G41" s="177"/>
      <c r="H41" s="184"/>
      <c r="I41" s="188">
        <f t="shared" si="12"/>
        <v>3</v>
      </c>
      <c r="J41" s="189">
        <f t="shared" si="13"/>
        <v>0</v>
      </c>
      <c r="K41" s="220">
        <f t="shared" ref="K41:K44" si="14">I41*J41</f>
        <v>0</v>
      </c>
      <c r="L41" s="38"/>
    </row>
    <row r="42" spans="2:12" ht="30" customHeight="1" x14ac:dyDescent="0.3">
      <c r="B42" s="37" t="str">
        <f t="shared" si="0"/>
        <v>INCIC</v>
      </c>
      <c r="C42" s="2">
        <f>IF(ISTEXT(D42),MAX($C$6:$C41)+1,"")</f>
        <v>38</v>
      </c>
      <c r="D42" s="159" t="s">
        <v>9</v>
      </c>
      <c r="E42" s="163" t="s">
        <v>1173</v>
      </c>
      <c r="F42" s="176" t="s">
        <v>43</v>
      </c>
      <c r="G42" s="177"/>
      <c r="H42" s="184"/>
      <c r="I42" s="188">
        <f t="shared" si="12"/>
        <v>3</v>
      </c>
      <c r="J42" s="189">
        <f t="shared" si="13"/>
        <v>0</v>
      </c>
      <c r="K42" s="220">
        <f t="shared" si="14"/>
        <v>0</v>
      </c>
      <c r="L42" s="38"/>
    </row>
    <row r="43" spans="2:12" ht="44.25" customHeight="1" x14ac:dyDescent="0.3">
      <c r="B43" s="37" t="str">
        <f t="shared" si="0"/>
        <v>INCIC</v>
      </c>
      <c r="C43" s="2">
        <f>IF(ISTEXT(D43),MAX($C$6:$C42)+1,"")</f>
        <v>39</v>
      </c>
      <c r="D43" s="159" t="s">
        <v>9</v>
      </c>
      <c r="E43" s="163" t="s">
        <v>1174</v>
      </c>
      <c r="F43" s="176" t="s">
        <v>43</v>
      </c>
      <c r="G43" s="177"/>
      <c r="H43" s="184"/>
      <c r="I43" s="188">
        <f t="shared" si="12"/>
        <v>3</v>
      </c>
      <c r="J43" s="189">
        <f t="shared" si="13"/>
        <v>0</v>
      </c>
      <c r="K43" s="220">
        <f t="shared" si="14"/>
        <v>0</v>
      </c>
      <c r="L43" s="38"/>
    </row>
    <row r="44" spans="2:12" ht="30" customHeight="1" x14ac:dyDescent="0.3">
      <c r="B44" s="37" t="str">
        <f t="shared" si="0"/>
        <v>INCIC</v>
      </c>
      <c r="C44" s="2">
        <f>IF(ISTEXT(D44),MAX($C$6:$C43)+1,"")</f>
        <v>40</v>
      </c>
      <c r="D44" s="159" t="s">
        <v>9</v>
      </c>
      <c r="E44" s="163" t="s">
        <v>1175</v>
      </c>
      <c r="F44" s="176" t="s">
        <v>43</v>
      </c>
      <c r="G44" s="177"/>
      <c r="H44" s="184"/>
      <c r="I44" s="188">
        <f t="shared" si="12"/>
        <v>3</v>
      </c>
      <c r="J44" s="189">
        <f t="shared" si="13"/>
        <v>0</v>
      </c>
      <c r="K44" s="220">
        <f t="shared" si="14"/>
        <v>0</v>
      </c>
      <c r="L44" s="38"/>
    </row>
    <row r="45" spans="2:12" ht="30" customHeight="1" x14ac:dyDescent="0.3">
      <c r="B45" s="37" t="str">
        <f t="shared" si="0"/>
        <v>INCIC</v>
      </c>
      <c r="C45" s="2">
        <f>IF(ISTEXT(D45),MAX($C$6:$C44)+1,"")</f>
        <v>41</v>
      </c>
      <c r="D45" s="159" t="s">
        <v>9</v>
      </c>
      <c r="E45" s="163" t="s">
        <v>1176</v>
      </c>
      <c r="F45" s="176" t="s">
        <v>43</v>
      </c>
      <c r="G45" s="186"/>
      <c r="H45" s="234"/>
      <c r="I45" s="179">
        <f t="shared" si="12"/>
        <v>3</v>
      </c>
      <c r="J45" s="180">
        <f t="shared" si="13"/>
        <v>0</v>
      </c>
      <c r="K45" s="181">
        <f>I45*J45</f>
        <v>0</v>
      </c>
      <c r="L45" s="38"/>
    </row>
    <row r="46" spans="2:12" ht="40.5" customHeight="1" x14ac:dyDescent="0.3">
      <c r="B46" s="37" t="str">
        <f t="shared" si="0"/>
        <v>INCIC</v>
      </c>
      <c r="C46" s="2">
        <f>IF(ISTEXT(D46),MAX($C$6:$C45)+1,"")</f>
        <v>42</v>
      </c>
      <c r="D46" s="159" t="s">
        <v>9</v>
      </c>
      <c r="E46" s="163" t="s">
        <v>1177</v>
      </c>
      <c r="F46" s="176" t="s">
        <v>43</v>
      </c>
      <c r="G46" s="177"/>
      <c r="H46" s="184"/>
      <c r="I46" s="188">
        <f t="shared" si="12"/>
        <v>3</v>
      </c>
      <c r="J46" s="189">
        <f t="shared" si="13"/>
        <v>0</v>
      </c>
      <c r="K46" s="220">
        <f t="shared" ref="K46:K52" si="15">I46*J46</f>
        <v>0</v>
      </c>
      <c r="L46" s="38"/>
    </row>
    <row r="47" spans="2:12" ht="30" customHeight="1" x14ac:dyDescent="0.3">
      <c r="B47" s="37" t="str">
        <f t="shared" si="0"/>
        <v>INCIC</v>
      </c>
      <c r="C47" s="2">
        <f>IF(ISTEXT(D47),MAX($C$6:$C46)+1,"")</f>
        <v>43</v>
      </c>
      <c r="D47" s="159" t="s">
        <v>9</v>
      </c>
      <c r="E47" s="163" t="s">
        <v>1178</v>
      </c>
      <c r="F47" s="176" t="s">
        <v>43</v>
      </c>
      <c r="G47" s="177"/>
      <c r="H47" s="184"/>
      <c r="I47" s="188">
        <f t="shared" si="12"/>
        <v>3</v>
      </c>
      <c r="J47" s="189">
        <f t="shared" si="13"/>
        <v>0</v>
      </c>
      <c r="K47" s="220">
        <f t="shared" si="15"/>
        <v>0</v>
      </c>
      <c r="L47" s="38"/>
    </row>
    <row r="48" spans="2:12" ht="30" customHeight="1" x14ac:dyDescent="0.3">
      <c r="B48" s="37" t="str">
        <f t="shared" si="0"/>
        <v>INCIC</v>
      </c>
      <c r="C48" s="2">
        <f>IF(ISTEXT(D48),MAX($C$6:$C47)+1,"")</f>
        <v>44</v>
      </c>
      <c r="D48" s="159" t="s">
        <v>9</v>
      </c>
      <c r="E48" s="163" t="s">
        <v>1179</v>
      </c>
      <c r="F48" s="176" t="s">
        <v>43</v>
      </c>
      <c r="G48" s="177"/>
      <c r="H48" s="184"/>
      <c r="I48" s="188">
        <f t="shared" si="12"/>
        <v>3</v>
      </c>
      <c r="J48" s="189">
        <f t="shared" si="13"/>
        <v>0</v>
      </c>
      <c r="K48" s="220">
        <f t="shared" si="15"/>
        <v>0</v>
      </c>
      <c r="L48" s="38"/>
    </row>
    <row r="49" spans="2:12" ht="30" customHeight="1" x14ac:dyDescent="0.3">
      <c r="B49" s="37" t="str">
        <f t="shared" si="0"/>
        <v>INCIC</v>
      </c>
      <c r="C49" s="2">
        <f>IF(ISTEXT(D49),MAX($C$6:$C48)+1,"")</f>
        <v>45</v>
      </c>
      <c r="D49" s="159" t="s">
        <v>11</v>
      </c>
      <c r="E49" s="163" t="s">
        <v>1180</v>
      </c>
      <c r="F49" s="176" t="s">
        <v>43</v>
      </c>
      <c r="G49" s="177"/>
      <c r="H49" s="184"/>
      <c r="I49" s="188">
        <f t="shared" si="12"/>
        <v>1</v>
      </c>
      <c r="J49" s="189">
        <f t="shared" si="13"/>
        <v>0</v>
      </c>
      <c r="K49" s="220">
        <f t="shared" si="15"/>
        <v>0</v>
      </c>
      <c r="L49" s="38"/>
    </row>
    <row r="50" spans="2:12" ht="30" customHeight="1" x14ac:dyDescent="0.3">
      <c r="B50" s="37" t="str">
        <f t="shared" si="0"/>
        <v>INCIC</v>
      </c>
      <c r="C50" s="2">
        <f>IF(ISTEXT(D50),MAX($C$6:$C49)+1,"")</f>
        <v>46</v>
      </c>
      <c r="D50" s="159" t="s">
        <v>11</v>
      </c>
      <c r="E50" s="163" t="s">
        <v>1181</v>
      </c>
      <c r="F50" s="176" t="s">
        <v>43</v>
      </c>
      <c r="G50" s="177"/>
      <c r="H50" s="184"/>
      <c r="I50" s="188">
        <f t="shared" si="12"/>
        <v>1</v>
      </c>
      <c r="J50" s="189">
        <f t="shared" si="13"/>
        <v>0</v>
      </c>
      <c r="K50" s="220">
        <f t="shared" si="15"/>
        <v>0</v>
      </c>
      <c r="L50" s="38"/>
    </row>
    <row r="51" spans="2:12" ht="30" customHeight="1" x14ac:dyDescent="0.3">
      <c r="B51" s="37" t="str">
        <f t="shared" si="0"/>
        <v>INCIC</v>
      </c>
      <c r="C51" s="2">
        <f>IF(ISTEXT(D51),MAX($C$6:$C50)+1,"")</f>
        <v>47</v>
      </c>
      <c r="D51" s="159" t="s">
        <v>11</v>
      </c>
      <c r="E51" s="163" t="s">
        <v>1182</v>
      </c>
      <c r="F51" s="176" t="s">
        <v>43</v>
      </c>
      <c r="G51" s="177"/>
      <c r="H51" s="184"/>
      <c r="I51" s="188">
        <f t="shared" si="12"/>
        <v>1</v>
      </c>
      <c r="J51" s="189">
        <f t="shared" si="13"/>
        <v>0</v>
      </c>
      <c r="K51" s="220">
        <f t="shared" si="15"/>
        <v>0</v>
      </c>
      <c r="L51" s="38"/>
    </row>
    <row r="52" spans="2:12" ht="30" customHeight="1" x14ac:dyDescent="0.3">
      <c r="B52" s="164" t="str">
        <f t="shared" si="0"/>
        <v>INCIC</v>
      </c>
      <c r="C52" s="165">
        <f>IF(ISTEXT(D52),MAX($C$6:$C51)+1,"")</f>
        <v>48</v>
      </c>
      <c r="D52" s="335" t="s">
        <v>11</v>
      </c>
      <c r="E52" s="235" t="s">
        <v>1183</v>
      </c>
      <c r="F52" s="176" t="s">
        <v>43</v>
      </c>
      <c r="G52" s="192"/>
      <c r="H52" s="193"/>
      <c r="I52" s="190">
        <f t="shared" si="12"/>
        <v>1</v>
      </c>
      <c r="J52" s="191">
        <f t="shared" si="13"/>
        <v>0</v>
      </c>
      <c r="K52" s="224">
        <f t="shared" si="15"/>
        <v>0</v>
      </c>
      <c r="L52" s="39"/>
    </row>
    <row r="53" spans="2:12" ht="8.25" customHeight="1" x14ac:dyDescent="0.3"/>
  </sheetData>
  <sheetProtection algorithmName="SHA-512" hashValue="SQfxtVJrKDPsKw0AkfzxgysyDWnxUR0DDYxMI6CFJBSp9JYtCjjyffFe4NNNAKKGIm39WAqmbd6+asUjzbWlSQ==" saltValue="dFvcCyTsCuRb5sHH21NT1w==" spinCount="100000" sheet="1" selectLockedCells="1"/>
  <conditionalFormatting sqref="D4:D12">
    <cfRule type="cellIs" dxfId="32" priority="1" operator="equal">
      <formula>"Important"</formula>
    </cfRule>
    <cfRule type="cellIs" dxfId="31" priority="2" operator="equal">
      <formula>"Crucial"</formula>
    </cfRule>
    <cfRule type="cellIs" dxfId="30" priority="3" operator="equal">
      <formula>"N/A"</formula>
    </cfRule>
  </conditionalFormatting>
  <conditionalFormatting sqref="D14:D52">
    <cfRule type="cellIs" dxfId="29" priority="4" operator="equal">
      <formula>"Important"</formula>
    </cfRule>
    <cfRule type="cellIs" dxfId="28" priority="5" operator="equal">
      <formula>"Crucial"</formula>
    </cfRule>
    <cfRule type="cellIs" dxfId="27" priority="6" operator="equal">
      <formula>"N/A"</formula>
    </cfRule>
  </conditionalFormatting>
  <conditionalFormatting sqref="F4:F52">
    <cfRule type="cellIs" dxfId="26" priority="7" operator="equal">
      <formula>"Function Not Available"</formula>
    </cfRule>
    <cfRule type="cellIs" dxfId="25" priority="8" operator="equal">
      <formula>"Function Available"</formula>
    </cfRule>
    <cfRule type="cellIs" dxfId="24" priority="9" operator="equal">
      <formula>"Exception"</formula>
    </cfRule>
  </conditionalFormatting>
  <dataValidations count="3">
    <dataValidation type="list" allowBlank="1" showInputMessage="1" showErrorMessage="1" sqref="F4:F5" xr:uid="{00000000-0002-0000-2000-000000000000}">
      <formula1>AvailabilityType</formula1>
    </dataValidation>
    <dataValidation type="list" allowBlank="1" showInputMessage="1" showErrorMessage="1" errorTitle="Invalid specification type" error="Please enter a Specification type from the drop-down list." sqref="D14:D52 D4:D12" xr:uid="{2DF7B8FF-B20C-430B-9558-F288541547BA}">
      <formula1>SpecType</formula1>
    </dataValidation>
    <dataValidation type="list" allowBlank="1" showInputMessage="1" showErrorMessage="1" errorTitle="Invalid specification type" error="Please enter a Specification type from the drop-down list." sqref="F6:F12 F14:F52" xr:uid="{00000000-0002-0000-2000-000002000000}">
      <formula1>AvailabilityType</formula1>
    </dataValidation>
  </dataValidations>
  <pageMargins left="0.7" right="0.7" top="0.75" bottom="0.75" header="0.3" footer="0.3"/>
  <pageSetup scale="46"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C00"/>
  </sheetPr>
  <dimension ref="A1:M21"/>
  <sheetViews>
    <sheetView showGridLines="0" zoomScale="80" zoomScaleNormal="8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8.6640625" customWidth="1"/>
    <col min="14" max="16384" width="8.6640625" hidden="1"/>
  </cols>
  <sheetData>
    <row r="1" spans="2:12" ht="4.95" customHeight="1" thickBot="1" x14ac:dyDescent="0.35"/>
    <row r="2" spans="2:12" ht="129" customHeight="1" thickBot="1" x14ac:dyDescent="0.35">
      <c r="B2" s="102" t="s">
        <v>44</v>
      </c>
      <c r="C2" s="102" t="s">
        <v>45</v>
      </c>
      <c r="D2" s="102" t="s">
        <v>46</v>
      </c>
      <c r="E2" s="102" t="s">
        <v>1184</v>
      </c>
      <c r="F2" s="102" t="s">
        <v>42</v>
      </c>
      <c r="G2" s="103" t="s">
        <v>48</v>
      </c>
      <c r="H2" s="103" t="s">
        <v>49</v>
      </c>
      <c r="I2" s="104" t="s">
        <v>50</v>
      </c>
      <c r="J2" s="104" t="s">
        <v>51</v>
      </c>
      <c r="K2" s="105" t="s">
        <v>14</v>
      </c>
      <c r="L2" s="106" t="s">
        <v>52</v>
      </c>
    </row>
    <row r="3" spans="2:12" ht="16.2" thickBot="1" x14ac:dyDescent="0.35">
      <c r="B3" s="45" t="s">
        <v>1185</v>
      </c>
      <c r="C3" s="8"/>
      <c r="D3" s="8"/>
      <c r="E3" s="8"/>
      <c r="F3" s="8"/>
      <c r="G3" s="34" t="s">
        <v>54</v>
      </c>
      <c r="H3" s="7">
        <f>COUNTA(D4:D479)</f>
        <v>9</v>
      </c>
      <c r="I3" s="24"/>
      <c r="J3" s="25" t="s">
        <v>55</v>
      </c>
      <c r="K3" s="26">
        <f t="shared" ref="K3" si="0">SUM(K4:K479)</f>
        <v>0</v>
      </c>
      <c r="L3" s="46"/>
    </row>
    <row r="4" spans="2:12" ht="30" customHeight="1" x14ac:dyDescent="0.3">
      <c r="B4" s="48" t="s">
        <v>1186</v>
      </c>
      <c r="C4" s="2">
        <v>1</v>
      </c>
      <c r="D4" s="159" t="s">
        <v>10</v>
      </c>
      <c r="E4" s="55" t="s">
        <v>1187</v>
      </c>
      <c r="F4" s="176" t="s">
        <v>43</v>
      </c>
      <c r="G4" s="177" t="s">
        <v>58</v>
      </c>
      <c r="H4" s="178">
        <f>COUNTIF(F4:F479,"Select from Drop Down")</f>
        <v>9</v>
      </c>
      <c r="I4" s="179">
        <f>VLOOKUP($D4,SpecData,2,FALSE)</f>
        <v>2</v>
      </c>
      <c r="J4" s="180">
        <f>VLOOKUP($F4,AvailabilityData,2,FALSE)</f>
        <v>0</v>
      </c>
      <c r="K4" s="181">
        <f>I4*J4</f>
        <v>0</v>
      </c>
      <c r="L4" s="47"/>
    </row>
    <row r="5" spans="2:12" ht="30" customHeight="1" x14ac:dyDescent="0.3">
      <c r="B5" s="48" t="str">
        <f>IF(C5="","",$B$4)</f>
        <v>ITDD</v>
      </c>
      <c r="C5" s="2">
        <f>IF(ISTEXT(D5),MAX($C$4:$C4)+1,"")</f>
        <v>2</v>
      </c>
      <c r="D5" s="159" t="s">
        <v>9</v>
      </c>
      <c r="E5" s="55" t="s">
        <v>1188</v>
      </c>
      <c r="F5" s="176" t="s">
        <v>43</v>
      </c>
      <c r="G5" s="177" t="s">
        <v>60</v>
      </c>
      <c r="H5" s="178">
        <f>COUNTIF(F4:F479,"Function Available")</f>
        <v>0</v>
      </c>
      <c r="I5" s="179">
        <f>VLOOKUP($D5,SpecData,2,FALSE)</f>
        <v>3</v>
      </c>
      <c r="J5" s="180">
        <f>VLOOKUP($F5,AvailabilityData,2,FALSE)</f>
        <v>0</v>
      </c>
      <c r="K5" s="181">
        <f t="shared" ref="K5:K13" si="1">I5*J5</f>
        <v>0</v>
      </c>
      <c r="L5" s="47"/>
    </row>
    <row r="6" spans="2:12" ht="30" customHeight="1" x14ac:dyDescent="0.3">
      <c r="B6" s="48" t="str">
        <f>IF(C6="","",$B$4)</f>
        <v>ITDD</v>
      </c>
      <c r="C6" s="2">
        <f>IF(ISTEXT(D6),MAX($C$4:$C5)+1,"")</f>
        <v>3</v>
      </c>
      <c r="D6" s="159" t="s">
        <v>10</v>
      </c>
      <c r="E6" s="55" t="s">
        <v>1189</v>
      </c>
      <c r="F6" s="176" t="s">
        <v>43</v>
      </c>
      <c r="G6" s="177" t="s">
        <v>62</v>
      </c>
      <c r="H6" s="184">
        <f>COUNTIF(F4:F479,"Function Not Available")</f>
        <v>0</v>
      </c>
      <c r="I6" s="179">
        <f t="shared" ref="I6:I13" si="2">VLOOKUP($D6,SpecData,2,FALSE)</f>
        <v>2</v>
      </c>
      <c r="J6" s="180">
        <f t="shared" ref="J6:J13" si="3">VLOOKUP($F6,AvailabilityData,2,FALSE)</f>
        <v>0</v>
      </c>
      <c r="K6" s="181">
        <f t="shared" si="1"/>
        <v>0</v>
      </c>
      <c r="L6" s="47"/>
    </row>
    <row r="7" spans="2:12" ht="30" customHeight="1" x14ac:dyDescent="0.3">
      <c r="B7" s="48" t="str">
        <f t="shared" ref="B7:B13" si="4">IF(C7="","",$B$4)</f>
        <v>ITDD</v>
      </c>
      <c r="C7" s="2">
        <f>IF(ISTEXT(D7),MAX($C$4:$C6)+1,"")</f>
        <v>4</v>
      </c>
      <c r="D7" s="159" t="s">
        <v>11</v>
      </c>
      <c r="E7" s="60" t="s">
        <v>1190</v>
      </c>
      <c r="F7" s="176" t="s">
        <v>43</v>
      </c>
      <c r="G7" s="177" t="s">
        <v>64</v>
      </c>
      <c r="H7" s="184">
        <f>COUNTIF(F4:F479,"Exception")</f>
        <v>0</v>
      </c>
      <c r="I7" s="179">
        <f t="shared" si="2"/>
        <v>1</v>
      </c>
      <c r="J7" s="180">
        <f t="shared" si="3"/>
        <v>0</v>
      </c>
      <c r="K7" s="181">
        <f t="shared" si="1"/>
        <v>0</v>
      </c>
      <c r="L7" s="47"/>
    </row>
    <row r="8" spans="2:12" ht="30" customHeight="1" x14ac:dyDescent="0.3">
      <c r="B8" s="48" t="str">
        <f t="shared" si="4"/>
        <v>ITDD</v>
      </c>
      <c r="C8" s="2">
        <f>IF(ISTEXT(D8),MAX($C$4:$C7)+1,"")</f>
        <v>5</v>
      </c>
      <c r="D8" s="159" t="s">
        <v>10</v>
      </c>
      <c r="E8" s="60" t="s">
        <v>1191</v>
      </c>
      <c r="F8" s="176" t="s">
        <v>43</v>
      </c>
      <c r="G8" s="177" t="s">
        <v>66</v>
      </c>
      <c r="H8" s="185">
        <f>COUNTIFS(D:D,"=Crucial",F:F,"=Select From Drop Down")</f>
        <v>3</v>
      </c>
      <c r="I8" s="179">
        <f t="shared" si="2"/>
        <v>2</v>
      </c>
      <c r="J8" s="180">
        <f t="shared" si="3"/>
        <v>0</v>
      </c>
      <c r="K8" s="181">
        <f t="shared" si="1"/>
        <v>0</v>
      </c>
      <c r="L8" s="47"/>
    </row>
    <row r="9" spans="2:12" ht="30" customHeight="1" x14ac:dyDescent="0.3">
      <c r="B9" s="48" t="str">
        <f t="shared" si="4"/>
        <v>ITDD</v>
      </c>
      <c r="C9" s="2">
        <f>IF(ISTEXT(D9),MAX($C$4:$C8)+1,"")</f>
        <v>6</v>
      </c>
      <c r="D9" s="159" t="s">
        <v>10</v>
      </c>
      <c r="E9" s="60" t="s">
        <v>1192</v>
      </c>
      <c r="F9" s="176" t="s">
        <v>43</v>
      </c>
      <c r="G9" s="177" t="s">
        <v>68</v>
      </c>
      <c r="H9" s="185">
        <f>COUNTIFS(D:D,"=Crucial",F:F,"=Function Available")</f>
        <v>0</v>
      </c>
      <c r="I9" s="179">
        <f t="shared" si="2"/>
        <v>2</v>
      </c>
      <c r="J9" s="180">
        <f t="shared" si="3"/>
        <v>0</v>
      </c>
      <c r="K9" s="181">
        <f t="shared" si="1"/>
        <v>0</v>
      </c>
      <c r="L9" s="47"/>
    </row>
    <row r="10" spans="2:12" ht="30" customHeight="1" x14ac:dyDescent="0.3">
      <c r="B10" s="48" t="str">
        <f t="shared" si="4"/>
        <v>ITDD</v>
      </c>
      <c r="C10" s="2">
        <f>IF(ISTEXT(D10),MAX($C$4:$C9)+1,"")</f>
        <v>7</v>
      </c>
      <c r="D10" s="159" t="s">
        <v>10</v>
      </c>
      <c r="E10" s="283" t="s">
        <v>1193</v>
      </c>
      <c r="F10" s="176" t="s">
        <v>43</v>
      </c>
      <c r="G10" s="177" t="s">
        <v>70</v>
      </c>
      <c r="H10" s="185">
        <f>COUNTIFS(D:D,"=Crucial",F:F,"=Function Not Available")</f>
        <v>0</v>
      </c>
      <c r="I10" s="179">
        <f t="shared" si="2"/>
        <v>2</v>
      </c>
      <c r="J10" s="180">
        <f t="shared" si="3"/>
        <v>0</v>
      </c>
      <c r="K10" s="181">
        <f t="shared" si="1"/>
        <v>0</v>
      </c>
      <c r="L10" s="47"/>
    </row>
    <row r="11" spans="2:12" ht="30" customHeight="1" x14ac:dyDescent="0.3">
      <c r="B11" s="248" t="str">
        <f t="shared" si="4"/>
        <v/>
      </c>
      <c r="C11" s="1" t="str">
        <f>IF(ISTEXT(D11),MAX($C$6:$C10)+1,"")</f>
        <v/>
      </c>
      <c r="D11" s="3"/>
      <c r="E11" s="64" t="s">
        <v>1194</v>
      </c>
      <c r="F11" s="115"/>
      <c r="G11" s="31"/>
      <c r="H11" s="31"/>
      <c r="I11" s="31"/>
      <c r="J11" s="31"/>
      <c r="K11" s="31"/>
      <c r="L11" s="246"/>
    </row>
    <row r="12" spans="2:12" ht="30" customHeight="1" x14ac:dyDescent="0.3">
      <c r="B12" s="48" t="str">
        <f t="shared" si="4"/>
        <v>ITDD</v>
      </c>
      <c r="C12" s="2">
        <f>IF(ISTEXT(D12),MAX($C$4:$C10)+1,"")</f>
        <v>8</v>
      </c>
      <c r="D12" s="159" t="s">
        <v>9</v>
      </c>
      <c r="E12" s="82" t="s">
        <v>1195</v>
      </c>
      <c r="F12" s="176" t="s">
        <v>43</v>
      </c>
      <c r="G12" s="177" t="s">
        <v>72</v>
      </c>
      <c r="H12" s="185">
        <f>COUNTIFS(D:D,"=Crucial",F:F,"=Exception")</f>
        <v>0</v>
      </c>
      <c r="I12" s="179">
        <f t="shared" si="2"/>
        <v>3</v>
      </c>
      <c r="J12" s="180">
        <f t="shared" si="3"/>
        <v>0</v>
      </c>
      <c r="K12" s="181">
        <f t="shared" si="1"/>
        <v>0</v>
      </c>
      <c r="L12" s="47"/>
    </row>
    <row r="13" spans="2:12" ht="30" customHeight="1" thickBot="1" x14ac:dyDescent="0.35">
      <c r="B13" s="52" t="str">
        <f t="shared" si="4"/>
        <v>ITDD</v>
      </c>
      <c r="C13" s="53">
        <f>IF(ISTEXT(D13),MAX($C$4:$C12)+1,"")</f>
        <v>9</v>
      </c>
      <c r="D13" s="168" t="s">
        <v>9</v>
      </c>
      <c r="E13" s="364" t="s">
        <v>1196</v>
      </c>
      <c r="F13" s="243" t="s">
        <v>43</v>
      </c>
      <c r="G13" s="195" t="s">
        <v>74</v>
      </c>
      <c r="H13" s="196">
        <f>COUNTIFS(D:D,"=Important",F:F,"=Select From Drop Down")</f>
        <v>5</v>
      </c>
      <c r="I13" s="197">
        <f t="shared" si="2"/>
        <v>3</v>
      </c>
      <c r="J13" s="198">
        <f t="shared" si="3"/>
        <v>0</v>
      </c>
      <c r="K13" s="199">
        <f t="shared" si="1"/>
        <v>0</v>
      </c>
      <c r="L13" s="54"/>
    </row>
    <row r="14" spans="2:12" ht="30" hidden="1" customHeight="1" x14ac:dyDescent="0.3">
      <c r="B14" s="61"/>
      <c r="C14" s="61"/>
      <c r="D14" s="171"/>
      <c r="E14" s="77"/>
      <c r="F14" s="121"/>
      <c r="G14" s="34" t="s">
        <v>76</v>
      </c>
      <c r="H14" s="122">
        <f>COUNTIFS(D:D,"=Important",F:F,"=Function Available")</f>
        <v>0</v>
      </c>
      <c r="I14" s="123"/>
      <c r="J14" s="124"/>
      <c r="K14" s="123"/>
      <c r="L14" s="173"/>
    </row>
    <row r="15" spans="2:12" ht="30" hidden="1" customHeight="1" x14ac:dyDescent="0.3">
      <c r="B15" s="73"/>
      <c r="C15" s="73"/>
      <c r="D15" s="240"/>
      <c r="E15" s="62"/>
      <c r="F15" s="125"/>
      <c r="G15" s="29" t="s">
        <v>78</v>
      </c>
      <c r="H15" s="126">
        <f>COUNTIFS(D:D,"=Important",F:F,"=Function Not Available")</f>
        <v>0</v>
      </c>
      <c r="I15" s="127"/>
      <c r="J15" s="128"/>
      <c r="K15" s="127"/>
      <c r="L15" s="161"/>
    </row>
    <row r="16" spans="2:12" ht="30" hidden="1" customHeight="1" x14ac:dyDescent="0.3">
      <c r="B16" s="73"/>
      <c r="C16" s="73"/>
      <c r="D16" s="240"/>
      <c r="E16" s="62"/>
      <c r="F16" s="125"/>
      <c r="G16" s="29" t="s">
        <v>80</v>
      </c>
      <c r="H16" s="126">
        <f>COUNTIFS(D:D,"=Important",F:F,"=Exception")</f>
        <v>0</v>
      </c>
      <c r="I16" s="127"/>
      <c r="J16" s="128"/>
      <c r="K16" s="127"/>
      <c r="L16" s="161"/>
    </row>
    <row r="17" spans="2:12" ht="30" hidden="1" customHeight="1" x14ac:dyDescent="0.3">
      <c r="B17" s="73"/>
      <c r="C17" s="73"/>
      <c r="D17" s="240"/>
      <c r="E17" s="62"/>
      <c r="F17" s="125"/>
      <c r="G17" s="29" t="s">
        <v>82</v>
      </c>
      <c r="H17" s="126">
        <f>COUNTIFS(D:D,"=Minimal",F:F,"=Select From Drop Down")</f>
        <v>1</v>
      </c>
      <c r="I17" s="127"/>
      <c r="J17" s="128"/>
      <c r="K17" s="127"/>
      <c r="L17" s="161"/>
    </row>
    <row r="18" spans="2:12" ht="30" hidden="1" customHeight="1" x14ac:dyDescent="0.3">
      <c r="B18" s="73"/>
      <c r="C18" s="73"/>
      <c r="D18" s="240"/>
      <c r="E18" s="62"/>
      <c r="F18" s="125"/>
      <c r="G18" s="29" t="s">
        <v>84</v>
      </c>
      <c r="H18" s="126">
        <f>COUNTIFS(D:D,"=Minimal",F:F,"=Function Available")</f>
        <v>0</v>
      </c>
      <c r="I18" s="127"/>
      <c r="J18" s="128"/>
      <c r="K18" s="127"/>
      <c r="L18" s="161"/>
    </row>
    <row r="19" spans="2:12" ht="30" hidden="1" customHeight="1" x14ac:dyDescent="0.3">
      <c r="B19" s="73"/>
      <c r="C19" s="73"/>
      <c r="D19" s="240"/>
      <c r="E19" s="62"/>
      <c r="F19" s="125"/>
      <c r="G19" s="29" t="s">
        <v>86</v>
      </c>
      <c r="H19" s="126">
        <f>COUNTIFS(D:D,"=Minimal",F:F,"=Function Not Available")</f>
        <v>0</v>
      </c>
      <c r="I19" s="127"/>
      <c r="J19" s="128"/>
      <c r="K19" s="127"/>
      <c r="L19" s="161"/>
    </row>
    <row r="20" spans="2:12" ht="30" hidden="1" customHeight="1" x14ac:dyDescent="0.3">
      <c r="B20" s="73"/>
      <c r="C20" s="73"/>
      <c r="D20" s="240"/>
      <c r="E20" s="62"/>
      <c r="F20" s="125"/>
      <c r="G20" s="29" t="s">
        <v>88</v>
      </c>
      <c r="H20" s="126">
        <f>COUNTIFS(D:D,"=Minimal",F:F,"=Exception")</f>
        <v>0</v>
      </c>
      <c r="I20" s="127"/>
      <c r="J20" s="128"/>
      <c r="K20" s="127"/>
      <c r="L20" s="161"/>
    </row>
    <row r="21" spans="2:12" ht="9" customHeight="1" x14ac:dyDescent="0.3"/>
  </sheetData>
  <sheetProtection algorithmName="SHA-512" hashValue="MAaLPZswVlWbqRnAybiniXUpt0NMJBsO+RU08SIJc0tHVSfS2bJ8VKvcOI1vXuYoVy6AYWTUhw/JagUh6xRR9A==" saltValue="1W9VxzFP1a35+N0yNy5y9w==" spinCount="100000" sheet="1" selectLockedCells="1"/>
  <conditionalFormatting sqref="D4:D10 D12:D20">
    <cfRule type="cellIs" dxfId="23" priority="1" operator="equal">
      <formula>"Important"</formula>
    </cfRule>
    <cfRule type="cellIs" dxfId="22" priority="2" operator="equal">
      <formula>"Crucial"</formula>
    </cfRule>
    <cfRule type="cellIs" dxfId="21" priority="3" operator="equal">
      <formula>"N/A"</formula>
    </cfRule>
  </conditionalFormatting>
  <conditionalFormatting sqref="F4:F20">
    <cfRule type="cellIs" dxfId="20" priority="7" operator="equal">
      <formula>"Function Not Available"</formula>
    </cfRule>
    <cfRule type="cellIs" dxfId="19" priority="8" operator="equal">
      <formula>"Function Available"</formula>
    </cfRule>
    <cfRule type="cellIs" dxfId="18" priority="9" operator="equal">
      <formula>"Exception"</formula>
    </cfRule>
  </conditionalFormatting>
  <dataValidations count="3">
    <dataValidation type="list" allowBlank="1" showInputMessage="1" showErrorMessage="1" errorTitle="Invalid specification type" error="Please enter a Specification type from the drop-down list." sqref="F6:F10 F12:F13" xr:uid="{00000000-0002-0000-2100-000000000000}">
      <formula1>AvailabilityType</formula1>
    </dataValidation>
    <dataValidation type="list" allowBlank="1" showInputMessage="1" showErrorMessage="1" sqref="D4:D10 D12:D13" xr:uid="{DB33EA3E-3446-47DC-B05A-AB4484EF1BDA}">
      <formula1>SpecType</formula1>
    </dataValidation>
    <dataValidation type="list" allowBlank="1" showInputMessage="1" showErrorMessage="1" sqref="F4:F5" xr:uid="{00000000-0002-0000-21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
    <tabColor rgb="FFFFCC00"/>
  </sheetPr>
  <dimension ref="A1:M46"/>
  <sheetViews>
    <sheetView showGridLines="0" zoomScale="80" zoomScaleNormal="80" zoomScalePageLayoutView="4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6" customHeight="1" x14ac:dyDescent="0.3"/>
    <row r="2" spans="2:12" s="158" customFormat="1" ht="129" customHeight="1" thickBot="1" x14ac:dyDescent="0.3">
      <c r="B2" s="96" t="s">
        <v>44</v>
      </c>
      <c r="C2" s="97" t="s">
        <v>45</v>
      </c>
      <c r="D2" s="97" t="s">
        <v>46</v>
      </c>
      <c r="E2" s="97" t="s">
        <v>1197</v>
      </c>
      <c r="F2" s="97" t="s">
        <v>42</v>
      </c>
      <c r="G2" s="98" t="s">
        <v>48</v>
      </c>
      <c r="H2" s="98" t="s">
        <v>49</v>
      </c>
      <c r="I2" s="99" t="s">
        <v>50</v>
      </c>
      <c r="J2" s="99" t="s">
        <v>51</v>
      </c>
      <c r="K2" s="100" t="s">
        <v>14</v>
      </c>
      <c r="L2" s="101" t="s">
        <v>52</v>
      </c>
    </row>
    <row r="3" spans="2:12" ht="16.2" thickBot="1" x14ac:dyDescent="0.35">
      <c r="B3" s="8" t="s">
        <v>1198</v>
      </c>
      <c r="C3" s="8"/>
      <c r="D3" s="8"/>
      <c r="E3" s="8"/>
      <c r="F3" s="8"/>
      <c r="G3" s="34" t="s">
        <v>54</v>
      </c>
      <c r="H3" s="7">
        <f>COUNTA(D4:D505)</f>
        <v>39</v>
      </c>
      <c r="I3" s="24"/>
      <c r="J3" s="25" t="s">
        <v>55</v>
      </c>
      <c r="K3" s="26">
        <f>SUM(K4:K505)</f>
        <v>0</v>
      </c>
      <c r="L3" s="8"/>
    </row>
    <row r="4" spans="2:12" ht="30" customHeight="1" x14ac:dyDescent="0.3">
      <c r="B4" s="37" t="s">
        <v>1199</v>
      </c>
      <c r="C4" s="2">
        <v>1</v>
      </c>
      <c r="D4" s="159" t="s">
        <v>9</v>
      </c>
      <c r="E4" s="36" t="s">
        <v>1200</v>
      </c>
      <c r="F4" s="176" t="s">
        <v>43</v>
      </c>
      <c r="G4" s="177" t="s">
        <v>58</v>
      </c>
      <c r="H4" s="178">
        <f>COUNTIF(F4:F505,"Select from Drop Down")</f>
        <v>39</v>
      </c>
      <c r="I4" s="179">
        <f>VLOOKUP($D4,SpecData,2,FALSE)</f>
        <v>3</v>
      </c>
      <c r="J4" s="180">
        <f>VLOOKUP($F4,AvailabilityData,2,FALSE)</f>
        <v>0</v>
      </c>
      <c r="K4" s="181">
        <f>I4*J4</f>
        <v>0</v>
      </c>
      <c r="L4" s="38"/>
    </row>
    <row r="5" spans="2:12" ht="30" customHeight="1" x14ac:dyDescent="0.3">
      <c r="B5" s="37" t="str">
        <f>IF(C5="","",$B$4)</f>
        <v>IWeb</v>
      </c>
      <c r="C5" s="2">
        <f>IF(ISTEXT(D5),MAX($C$4:$C4)+1,"")</f>
        <v>2</v>
      </c>
      <c r="D5" s="159" t="s">
        <v>9</v>
      </c>
      <c r="E5" s="36" t="s">
        <v>1201</v>
      </c>
      <c r="F5" s="176" t="s">
        <v>43</v>
      </c>
      <c r="G5" s="177" t="s">
        <v>60</v>
      </c>
      <c r="H5" s="178">
        <f>COUNTIF(F4:F505,"Function Available")</f>
        <v>0</v>
      </c>
      <c r="I5" s="179">
        <f>VLOOKUP($D5,SpecData,2,FALSE)</f>
        <v>3</v>
      </c>
      <c r="J5" s="180">
        <f>VLOOKUP($F5,AvailabilityData,2,FALSE)</f>
        <v>0</v>
      </c>
      <c r="K5" s="181">
        <f>I5*J5</f>
        <v>0</v>
      </c>
      <c r="L5" s="38"/>
    </row>
    <row r="6" spans="2:12" ht="41.25" customHeight="1" x14ac:dyDescent="0.3">
      <c r="B6" s="37" t="str">
        <f t="shared" ref="B6:B43" si="0">IF(C6="","",$B$4)</f>
        <v>IWeb</v>
      </c>
      <c r="C6" s="2">
        <f>IF(ISTEXT(D6),MAX($C$4:$C5)+1,"")</f>
        <v>3</v>
      </c>
      <c r="D6" s="159" t="s">
        <v>9</v>
      </c>
      <c r="E6" s="36" t="s">
        <v>1202</v>
      </c>
      <c r="F6" s="176" t="s">
        <v>43</v>
      </c>
      <c r="G6" s="177" t="s">
        <v>62</v>
      </c>
      <c r="H6" s="184">
        <f>COUNTIF(F4:F505,"Function Not Available")</f>
        <v>0</v>
      </c>
      <c r="I6" s="179">
        <f t="shared" ref="I6:I12" si="1">VLOOKUP($D6,SpecData,2,FALSE)</f>
        <v>3</v>
      </c>
      <c r="J6" s="180">
        <f t="shared" ref="J6:J12" si="2">VLOOKUP($F6,AvailabilityData,2,FALSE)</f>
        <v>0</v>
      </c>
      <c r="K6" s="220">
        <f t="shared" ref="K6:K12" si="3">I6*J6</f>
        <v>0</v>
      </c>
      <c r="L6" s="38"/>
    </row>
    <row r="7" spans="2:12" ht="30" customHeight="1" x14ac:dyDescent="0.3">
      <c r="B7" s="37" t="str">
        <f t="shared" si="0"/>
        <v>IWeb</v>
      </c>
      <c r="C7" s="2">
        <f>IF(ISTEXT(D7),MAX($C$4:$C6)+1,"")</f>
        <v>4</v>
      </c>
      <c r="D7" s="159" t="s">
        <v>9</v>
      </c>
      <c r="E7" s="36" t="s">
        <v>1203</v>
      </c>
      <c r="F7" s="176" t="s">
        <v>43</v>
      </c>
      <c r="G7" s="177" t="s">
        <v>64</v>
      </c>
      <c r="H7" s="184">
        <f>COUNTIF(F4:F505,"Exception")</f>
        <v>0</v>
      </c>
      <c r="I7" s="179">
        <f t="shared" si="1"/>
        <v>3</v>
      </c>
      <c r="J7" s="180">
        <f t="shared" si="2"/>
        <v>0</v>
      </c>
      <c r="K7" s="181">
        <f t="shared" si="3"/>
        <v>0</v>
      </c>
      <c r="L7" s="38"/>
    </row>
    <row r="8" spans="2:12" ht="30" customHeight="1" x14ac:dyDescent="0.3">
      <c r="B8" s="37" t="str">
        <f t="shared" si="0"/>
        <v>IWeb</v>
      </c>
      <c r="C8" s="2">
        <f>IF(ISTEXT(D8),MAX($C$4:$C7)+1,"")</f>
        <v>5</v>
      </c>
      <c r="D8" s="159" t="s">
        <v>9</v>
      </c>
      <c r="E8" s="36" t="s">
        <v>1204</v>
      </c>
      <c r="F8" s="176" t="s">
        <v>43</v>
      </c>
      <c r="G8" s="177" t="s">
        <v>66</v>
      </c>
      <c r="H8" s="185">
        <f>COUNTIFS(D:D,"=Crucial",F:F,"=Select From Drop Down")</f>
        <v>23</v>
      </c>
      <c r="I8" s="179">
        <f t="shared" si="1"/>
        <v>3</v>
      </c>
      <c r="J8" s="180">
        <f t="shared" si="2"/>
        <v>0</v>
      </c>
      <c r="K8" s="220">
        <f t="shared" si="3"/>
        <v>0</v>
      </c>
      <c r="L8" s="38"/>
    </row>
    <row r="9" spans="2:12" ht="30" customHeight="1" x14ac:dyDescent="0.3">
      <c r="B9" s="37" t="str">
        <f t="shared" si="0"/>
        <v>IWeb</v>
      </c>
      <c r="C9" s="2">
        <f>IF(ISTEXT(D9),MAX($C$4:$C8)+1,"")</f>
        <v>6</v>
      </c>
      <c r="D9" s="159" t="s">
        <v>9</v>
      </c>
      <c r="E9" s="36" t="s">
        <v>1205</v>
      </c>
      <c r="F9" s="176" t="s">
        <v>43</v>
      </c>
      <c r="G9" s="177" t="s">
        <v>68</v>
      </c>
      <c r="H9" s="185">
        <f>COUNTIFS(D:D,"=Crucial",F:F,"=Function Available")</f>
        <v>0</v>
      </c>
      <c r="I9" s="179">
        <f t="shared" si="1"/>
        <v>3</v>
      </c>
      <c r="J9" s="180">
        <f t="shared" si="2"/>
        <v>0</v>
      </c>
      <c r="K9" s="220">
        <f t="shared" si="3"/>
        <v>0</v>
      </c>
      <c r="L9" s="38"/>
    </row>
    <row r="10" spans="2:12" ht="41.25" customHeight="1" x14ac:dyDescent="0.3">
      <c r="B10" s="37" t="str">
        <f t="shared" si="0"/>
        <v>IWeb</v>
      </c>
      <c r="C10" s="2">
        <f>IF(ISTEXT(D10),MAX($C$4:$C9)+1,"")</f>
        <v>7</v>
      </c>
      <c r="D10" s="159" t="s">
        <v>9</v>
      </c>
      <c r="E10" s="36" t="s">
        <v>1206</v>
      </c>
      <c r="F10" s="176" t="s">
        <v>43</v>
      </c>
      <c r="G10" s="177" t="s">
        <v>70</v>
      </c>
      <c r="H10" s="185">
        <f>COUNTIFS(D:D,"=Crucial",F:F,"=Function Not Available")</f>
        <v>0</v>
      </c>
      <c r="I10" s="179">
        <f t="shared" si="1"/>
        <v>3</v>
      </c>
      <c r="J10" s="180">
        <f t="shared" si="2"/>
        <v>0</v>
      </c>
      <c r="K10" s="220">
        <f t="shared" si="3"/>
        <v>0</v>
      </c>
      <c r="L10" s="38"/>
    </row>
    <row r="11" spans="2:12" ht="30" customHeight="1" x14ac:dyDescent="0.3">
      <c r="B11" s="37" t="str">
        <f t="shared" si="0"/>
        <v>IWeb</v>
      </c>
      <c r="C11" s="2">
        <f>IF(ISTEXT(D11),MAX($C$4:$C10)+1,"")</f>
        <v>8</v>
      </c>
      <c r="D11" s="159" t="s">
        <v>9</v>
      </c>
      <c r="E11" s="36" t="s">
        <v>1234</v>
      </c>
      <c r="F11" s="176" t="s">
        <v>43</v>
      </c>
      <c r="G11" s="177" t="s">
        <v>72</v>
      </c>
      <c r="H11" s="185">
        <f>COUNTIFS(D:D,"=Crucial",F:F,"=Exception")</f>
        <v>0</v>
      </c>
      <c r="I11" s="179">
        <f t="shared" si="1"/>
        <v>3</v>
      </c>
      <c r="J11" s="180">
        <f t="shared" si="2"/>
        <v>0</v>
      </c>
      <c r="K11" s="220">
        <f t="shared" si="3"/>
        <v>0</v>
      </c>
      <c r="L11" s="38"/>
    </row>
    <row r="12" spans="2:12" ht="30" customHeight="1" x14ac:dyDescent="0.3">
      <c r="B12" s="37" t="str">
        <f t="shared" si="0"/>
        <v>IWeb</v>
      </c>
      <c r="C12" s="2">
        <f>IF(ISTEXT(D12),MAX($C$4:$C11)+1,"")</f>
        <v>9</v>
      </c>
      <c r="D12" s="159" t="s">
        <v>9</v>
      </c>
      <c r="E12" s="256" t="s">
        <v>1207</v>
      </c>
      <c r="F12" s="176" t="s">
        <v>43</v>
      </c>
      <c r="G12" s="177" t="s">
        <v>74</v>
      </c>
      <c r="H12" s="185">
        <f>COUNTIFS(D:D,"=Important",F:F,"=Select From Drop Down")</f>
        <v>15</v>
      </c>
      <c r="I12" s="179">
        <f t="shared" si="1"/>
        <v>3</v>
      </c>
      <c r="J12" s="180">
        <f t="shared" si="2"/>
        <v>0</v>
      </c>
      <c r="K12" s="220">
        <f t="shared" si="3"/>
        <v>0</v>
      </c>
      <c r="L12" s="38"/>
    </row>
    <row r="13" spans="2:12" ht="30" customHeight="1" x14ac:dyDescent="0.3">
      <c r="B13" s="37" t="str">
        <f t="shared" si="0"/>
        <v>IWeb</v>
      </c>
      <c r="C13" s="2">
        <f>IF(ISTEXT(D13),MAX($C$4:$C12)+1,"")</f>
        <v>10</v>
      </c>
      <c r="D13" s="159" t="s">
        <v>9</v>
      </c>
      <c r="E13" s="256" t="s">
        <v>1208</v>
      </c>
      <c r="F13" s="176" t="s">
        <v>43</v>
      </c>
      <c r="G13" s="177" t="s">
        <v>76</v>
      </c>
      <c r="H13" s="185">
        <f>COUNTIFS(D:D,"=Important",F:F,"=Function Available")</f>
        <v>0</v>
      </c>
      <c r="I13" s="179">
        <f t="shared" ref="I13:I26" si="4">VLOOKUP($D13,SpecData,2,FALSE)</f>
        <v>3</v>
      </c>
      <c r="J13" s="180">
        <f t="shared" ref="J13:J26" si="5">VLOOKUP($F13,AvailabilityData,2,FALSE)</f>
        <v>0</v>
      </c>
      <c r="K13" s="220">
        <f t="shared" ref="K13:K34" si="6">I13*J13</f>
        <v>0</v>
      </c>
      <c r="L13" s="38"/>
    </row>
    <row r="14" spans="2:12" ht="45" customHeight="1" x14ac:dyDescent="0.3">
      <c r="B14" s="37" t="str">
        <f t="shared" si="0"/>
        <v>IWeb</v>
      </c>
      <c r="C14" s="2">
        <f>IF(ISTEXT(D14),MAX($C$4:$C13)+1,"")</f>
        <v>11</v>
      </c>
      <c r="D14" s="159" t="s">
        <v>10</v>
      </c>
      <c r="E14" s="256" t="s">
        <v>1209</v>
      </c>
      <c r="F14" s="176" t="s">
        <v>43</v>
      </c>
      <c r="G14" s="177" t="s">
        <v>78</v>
      </c>
      <c r="H14" s="185">
        <f>COUNTIFS(D:D,"=Important",F:F,"=Function Not Available")</f>
        <v>0</v>
      </c>
      <c r="I14" s="179">
        <f t="shared" si="4"/>
        <v>2</v>
      </c>
      <c r="J14" s="180">
        <f t="shared" si="5"/>
        <v>0</v>
      </c>
      <c r="K14" s="220">
        <f t="shared" si="6"/>
        <v>0</v>
      </c>
      <c r="L14" s="38"/>
    </row>
    <row r="15" spans="2:12" ht="30" customHeight="1" x14ac:dyDescent="0.3">
      <c r="B15" s="37" t="str">
        <f t="shared" si="0"/>
        <v>IWeb</v>
      </c>
      <c r="C15" s="2">
        <f>IF(ISTEXT(D15),MAX($C$4:$C14)+1,"")</f>
        <v>12</v>
      </c>
      <c r="D15" s="159" t="s">
        <v>9</v>
      </c>
      <c r="E15" s="256" t="s">
        <v>1210</v>
      </c>
      <c r="F15" s="176" t="s">
        <v>43</v>
      </c>
      <c r="G15" s="177" t="s">
        <v>80</v>
      </c>
      <c r="H15" s="185">
        <f>COUNTIFS(D:D,"=Important",F:F,"=Exception")</f>
        <v>0</v>
      </c>
      <c r="I15" s="188">
        <f t="shared" si="4"/>
        <v>3</v>
      </c>
      <c r="J15" s="189">
        <f t="shared" si="5"/>
        <v>0</v>
      </c>
      <c r="K15" s="220">
        <f t="shared" si="6"/>
        <v>0</v>
      </c>
      <c r="L15" s="38"/>
    </row>
    <row r="16" spans="2:12" ht="30" customHeight="1" x14ac:dyDescent="0.3">
      <c r="B16" s="37" t="str">
        <f t="shared" si="0"/>
        <v>IWeb</v>
      </c>
      <c r="C16" s="2">
        <f>IF(ISTEXT(D16),MAX($C$4:$C15)+1,"")</f>
        <v>13</v>
      </c>
      <c r="D16" s="159" t="s">
        <v>10</v>
      </c>
      <c r="E16" s="365" t="s">
        <v>1259</v>
      </c>
      <c r="F16" s="176" t="s">
        <v>43</v>
      </c>
      <c r="G16" s="177" t="s">
        <v>82</v>
      </c>
      <c r="H16" s="185">
        <f>COUNTIFS(D:D,"=Minimal",F:F,"=Select From Drop Down")</f>
        <v>1</v>
      </c>
      <c r="I16" s="188">
        <f t="shared" si="4"/>
        <v>2</v>
      </c>
      <c r="J16" s="189">
        <f t="shared" si="5"/>
        <v>0</v>
      </c>
      <c r="K16" s="220">
        <f t="shared" si="6"/>
        <v>0</v>
      </c>
      <c r="L16" s="38"/>
    </row>
    <row r="17" spans="2:12" ht="30" customHeight="1" x14ac:dyDescent="0.3">
      <c r="B17" s="37" t="str">
        <f t="shared" si="0"/>
        <v>IWeb</v>
      </c>
      <c r="C17" s="2">
        <f>IF(ISTEXT(D17),MAX($C$4:$C16)+1,"")</f>
        <v>14</v>
      </c>
      <c r="D17" s="210" t="s">
        <v>10</v>
      </c>
      <c r="E17" s="365" t="s">
        <v>1258</v>
      </c>
      <c r="F17" s="176" t="s">
        <v>43</v>
      </c>
      <c r="G17" s="177" t="s">
        <v>84</v>
      </c>
      <c r="H17" s="185">
        <f>COUNTIFS(D:D,"=Minimal",F:F,"=Function Available")</f>
        <v>0</v>
      </c>
      <c r="I17" s="188">
        <f>VLOOKUP($D17,SpecData,2,FALSE)</f>
        <v>2</v>
      </c>
      <c r="J17" s="189">
        <f>VLOOKUP($F17,AvailabilityData,2,FALSE)</f>
        <v>0</v>
      </c>
      <c r="K17" s="220">
        <f>I17*J17</f>
        <v>0</v>
      </c>
      <c r="L17" s="157"/>
    </row>
    <row r="18" spans="2:12" ht="30" customHeight="1" x14ac:dyDescent="0.3">
      <c r="B18" s="37" t="str">
        <f t="shared" si="0"/>
        <v>IWeb</v>
      </c>
      <c r="C18" s="2">
        <f>IF(ISTEXT(D18),MAX($C$4:$C17)+1,"")</f>
        <v>15</v>
      </c>
      <c r="D18" s="159" t="s">
        <v>10</v>
      </c>
      <c r="E18" s="163" t="s">
        <v>1211</v>
      </c>
      <c r="F18" s="176" t="s">
        <v>43</v>
      </c>
      <c r="G18" s="177" t="s">
        <v>86</v>
      </c>
      <c r="H18" s="185">
        <f>COUNTIFS(D:D,"=Minimal",F:F,"=Function Not Available")</f>
        <v>0</v>
      </c>
      <c r="I18" s="188">
        <f t="shared" si="4"/>
        <v>2</v>
      </c>
      <c r="J18" s="189">
        <f t="shared" si="5"/>
        <v>0</v>
      </c>
      <c r="K18" s="220">
        <f t="shared" si="6"/>
        <v>0</v>
      </c>
      <c r="L18" s="38"/>
    </row>
    <row r="19" spans="2:12" ht="30" customHeight="1" x14ac:dyDescent="0.3">
      <c r="B19" s="37" t="str">
        <f t="shared" si="0"/>
        <v>IWeb</v>
      </c>
      <c r="C19" s="2">
        <f>IF(ISTEXT(D19),MAX($C$4:$C18)+1,"")</f>
        <v>16</v>
      </c>
      <c r="D19" s="159" t="s">
        <v>9</v>
      </c>
      <c r="E19" s="162" t="s">
        <v>1212</v>
      </c>
      <c r="F19" s="176" t="s">
        <v>43</v>
      </c>
      <c r="G19" s="177" t="s">
        <v>88</v>
      </c>
      <c r="H19" s="185">
        <f>COUNTIFS(D:D,"=Minimal",F:F,"=Exception")</f>
        <v>0</v>
      </c>
      <c r="I19" s="188">
        <f t="shared" si="4"/>
        <v>3</v>
      </c>
      <c r="J19" s="189">
        <f t="shared" si="5"/>
        <v>0</v>
      </c>
      <c r="K19" s="220">
        <f t="shared" si="6"/>
        <v>0</v>
      </c>
      <c r="L19" s="38"/>
    </row>
    <row r="20" spans="2:12" ht="30" customHeight="1" x14ac:dyDescent="0.3">
      <c r="B20" s="40" t="str">
        <f t="shared" si="0"/>
        <v/>
      </c>
      <c r="C20" s="1" t="str">
        <f>IF(ISTEXT(D20),MAX($C$4:$C19)+1,"")</f>
        <v/>
      </c>
      <c r="D20" s="3"/>
      <c r="E20" s="333" t="s">
        <v>1213</v>
      </c>
      <c r="F20" s="115"/>
      <c r="G20" s="31"/>
      <c r="H20" s="31"/>
      <c r="I20" s="31"/>
      <c r="J20" s="31"/>
      <c r="K20" s="31"/>
      <c r="L20" s="31"/>
    </row>
    <row r="21" spans="2:12" ht="30" customHeight="1" x14ac:dyDescent="0.3">
      <c r="B21" s="37" t="str">
        <f t="shared" si="0"/>
        <v>IWeb</v>
      </c>
      <c r="C21" s="2">
        <f>IF(ISTEXT(D21),MAX($C$4:$C20)+1,"")</f>
        <v>17</v>
      </c>
      <c r="D21" s="159" t="s">
        <v>9</v>
      </c>
      <c r="E21" s="204" t="s">
        <v>1214</v>
      </c>
      <c r="F21" s="176" t="s">
        <v>43</v>
      </c>
      <c r="G21" s="177"/>
      <c r="H21" s="184"/>
      <c r="I21" s="188">
        <f t="shared" si="4"/>
        <v>3</v>
      </c>
      <c r="J21" s="189">
        <f t="shared" si="5"/>
        <v>0</v>
      </c>
      <c r="K21" s="220">
        <f t="shared" si="6"/>
        <v>0</v>
      </c>
      <c r="L21" s="38"/>
    </row>
    <row r="22" spans="2:12" ht="30" customHeight="1" x14ac:dyDescent="0.3">
      <c r="B22" s="37" t="str">
        <f t="shared" si="0"/>
        <v>IWeb</v>
      </c>
      <c r="C22" s="2">
        <f>IF(ISTEXT(D22),MAX($C$4:$C21)+1,"")</f>
        <v>18</v>
      </c>
      <c r="D22" s="159" t="s">
        <v>9</v>
      </c>
      <c r="E22" s="227" t="s">
        <v>1215</v>
      </c>
      <c r="F22" s="176" t="s">
        <v>43</v>
      </c>
      <c r="G22" s="177"/>
      <c r="H22" s="184"/>
      <c r="I22" s="188">
        <f t="shared" si="4"/>
        <v>3</v>
      </c>
      <c r="J22" s="189">
        <f t="shared" si="5"/>
        <v>0</v>
      </c>
      <c r="K22" s="220">
        <f t="shared" si="6"/>
        <v>0</v>
      </c>
      <c r="L22" s="38"/>
    </row>
    <row r="23" spans="2:12" ht="30" customHeight="1" x14ac:dyDescent="0.3">
      <c r="B23" s="37" t="str">
        <f t="shared" si="0"/>
        <v>IWeb</v>
      </c>
      <c r="C23" s="2">
        <f>IF(ISTEXT(D23),MAX($C$4:$C22)+1,"")</f>
        <v>19</v>
      </c>
      <c r="D23" s="159" t="s">
        <v>9</v>
      </c>
      <c r="E23" s="227" t="s">
        <v>191</v>
      </c>
      <c r="F23" s="176" t="s">
        <v>43</v>
      </c>
      <c r="G23" s="177"/>
      <c r="H23" s="184"/>
      <c r="I23" s="188">
        <f t="shared" si="4"/>
        <v>3</v>
      </c>
      <c r="J23" s="189">
        <f t="shared" si="5"/>
        <v>0</v>
      </c>
      <c r="K23" s="220">
        <f t="shared" si="6"/>
        <v>0</v>
      </c>
      <c r="L23" s="38"/>
    </row>
    <row r="24" spans="2:12" ht="30" customHeight="1" x14ac:dyDescent="0.3">
      <c r="B24" s="37" t="str">
        <f t="shared" si="0"/>
        <v>IWeb</v>
      </c>
      <c r="C24" s="2">
        <f>IF(ISTEXT(D24),MAX($C$4:$C23)+1,"")</f>
        <v>20</v>
      </c>
      <c r="D24" s="159" t="s">
        <v>9</v>
      </c>
      <c r="E24" s="227" t="s">
        <v>1216</v>
      </c>
      <c r="F24" s="176" t="s">
        <v>43</v>
      </c>
      <c r="G24" s="177"/>
      <c r="H24" s="184"/>
      <c r="I24" s="188">
        <f t="shared" si="4"/>
        <v>3</v>
      </c>
      <c r="J24" s="189">
        <f t="shared" si="5"/>
        <v>0</v>
      </c>
      <c r="K24" s="220">
        <f t="shared" si="6"/>
        <v>0</v>
      </c>
      <c r="L24" s="38"/>
    </row>
    <row r="25" spans="2:12" ht="30" customHeight="1" x14ac:dyDescent="0.3">
      <c r="B25" s="37" t="str">
        <f t="shared" si="0"/>
        <v>IWeb</v>
      </c>
      <c r="C25" s="2">
        <f>IF(ISTEXT(D25),MAX($C$4:$C24)+1,"")</f>
        <v>21</v>
      </c>
      <c r="D25" s="159" t="s">
        <v>9</v>
      </c>
      <c r="E25" s="227" t="s">
        <v>1217</v>
      </c>
      <c r="F25" s="176" t="s">
        <v>43</v>
      </c>
      <c r="G25" s="177"/>
      <c r="H25" s="184"/>
      <c r="I25" s="188">
        <f t="shared" si="4"/>
        <v>3</v>
      </c>
      <c r="J25" s="189">
        <f t="shared" si="5"/>
        <v>0</v>
      </c>
      <c r="K25" s="220">
        <f t="shared" si="6"/>
        <v>0</v>
      </c>
      <c r="L25" s="38"/>
    </row>
    <row r="26" spans="2:12" ht="30" customHeight="1" x14ac:dyDescent="0.3">
      <c r="B26" s="37" t="str">
        <f t="shared" si="0"/>
        <v>IWeb</v>
      </c>
      <c r="C26" s="2">
        <f>IF(ISTEXT(D26),MAX($C$4:$C25)+1,"")</f>
        <v>22</v>
      </c>
      <c r="D26" s="159" t="s">
        <v>9</v>
      </c>
      <c r="E26" s="227" t="s">
        <v>1218</v>
      </c>
      <c r="F26" s="176" t="s">
        <v>43</v>
      </c>
      <c r="G26" s="192"/>
      <c r="H26" s="193"/>
      <c r="I26" s="190">
        <f t="shared" si="4"/>
        <v>3</v>
      </c>
      <c r="J26" s="191">
        <f t="shared" si="5"/>
        <v>0</v>
      </c>
      <c r="K26" s="224">
        <f t="shared" si="6"/>
        <v>0</v>
      </c>
      <c r="L26" s="38"/>
    </row>
    <row r="27" spans="2:12" ht="30" customHeight="1" x14ac:dyDescent="0.3">
      <c r="B27" s="37" t="str">
        <f t="shared" si="0"/>
        <v>IWeb</v>
      </c>
      <c r="C27" s="2">
        <f>IF(ISTEXT(D27),MAX($C$4:$C26)+1,"")</f>
        <v>23</v>
      </c>
      <c r="D27" s="159" t="s">
        <v>9</v>
      </c>
      <c r="E27" s="227" t="s">
        <v>195</v>
      </c>
      <c r="F27" s="176" t="s">
        <v>43</v>
      </c>
      <c r="G27" s="186"/>
      <c r="H27" s="234"/>
      <c r="I27" s="179">
        <f t="shared" ref="I27:I34" si="7">VLOOKUP($D27,SpecData,2,FALSE)</f>
        <v>3</v>
      </c>
      <c r="J27" s="180">
        <f t="shared" ref="J27:J34" si="8">VLOOKUP($F27,AvailabilityData,2,FALSE)</f>
        <v>0</v>
      </c>
      <c r="K27" s="181">
        <f t="shared" si="6"/>
        <v>0</v>
      </c>
      <c r="L27" s="38"/>
    </row>
    <row r="28" spans="2:12" ht="30" customHeight="1" x14ac:dyDescent="0.3">
      <c r="B28" s="37" t="str">
        <f t="shared" si="0"/>
        <v>IWeb</v>
      </c>
      <c r="C28" s="2">
        <f>IF(ISTEXT(D28),MAX($C$4:$C27)+1,"")</f>
        <v>24</v>
      </c>
      <c r="D28" s="159" t="s">
        <v>9</v>
      </c>
      <c r="E28" s="227" t="s">
        <v>1260</v>
      </c>
      <c r="F28" s="176" t="s">
        <v>43</v>
      </c>
      <c r="G28" s="177"/>
      <c r="H28" s="184"/>
      <c r="I28" s="188">
        <f t="shared" si="7"/>
        <v>3</v>
      </c>
      <c r="J28" s="189">
        <f t="shared" si="8"/>
        <v>0</v>
      </c>
      <c r="K28" s="220">
        <f t="shared" si="6"/>
        <v>0</v>
      </c>
      <c r="L28" s="38"/>
    </row>
    <row r="29" spans="2:12" ht="30" customHeight="1" x14ac:dyDescent="0.3">
      <c r="B29" s="37" t="str">
        <f t="shared" si="0"/>
        <v>IWeb</v>
      </c>
      <c r="C29" s="2">
        <f>IF(ISTEXT(D29),MAX($C$4:$C28)+1,"")</f>
        <v>25</v>
      </c>
      <c r="D29" s="159" t="s">
        <v>9</v>
      </c>
      <c r="E29" s="205" t="s">
        <v>1219</v>
      </c>
      <c r="F29" s="176" t="s">
        <v>43</v>
      </c>
      <c r="G29" s="186"/>
      <c r="H29" s="234"/>
      <c r="I29" s="179">
        <f t="shared" si="7"/>
        <v>3</v>
      </c>
      <c r="J29" s="180">
        <f t="shared" si="8"/>
        <v>0</v>
      </c>
      <c r="K29" s="181">
        <f t="shared" si="6"/>
        <v>0</v>
      </c>
      <c r="L29" s="44"/>
    </row>
    <row r="30" spans="2:12" ht="30" customHeight="1" x14ac:dyDescent="0.3">
      <c r="B30" s="37" t="str">
        <f t="shared" si="0"/>
        <v>IWeb</v>
      </c>
      <c r="C30" s="2">
        <f>IF(ISTEXT(D30),MAX($C$4:$C29)+1,"")</f>
        <v>26</v>
      </c>
      <c r="D30" s="159" t="s">
        <v>9</v>
      </c>
      <c r="E30" s="205" t="s">
        <v>1220</v>
      </c>
      <c r="F30" s="176" t="s">
        <v>43</v>
      </c>
      <c r="G30" s="177"/>
      <c r="H30" s="184"/>
      <c r="I30" s="188">
        <f t="shared" si="7"/>
        <v>3</v>
      </c>
      <c r="J30" s="189">
        <f t="shared" si="8"/>
        <v>0</v>
      </c>
      <c r="K30" s="220">
        <f t="shared" si="6"/>
        <v>0</v>
      </c>
      <c r="L30" s="38"/>
    </row>
    <row r="31" spans="2:12" ht="30" customHeight="1" x14ac:dyDescent="0.3">
      <c r="B31" s="37" t="str">
        <f t="shared" si="0"/>
        <v>IWeb</v>
      </c>
      <c r="C31" s="2">
        <f>IF(ISTEXT(D31),MAX($C$4:$C30)+1,"")</f>
        <v>27</v>
      </c>
      <c r="D31" s="159" t="s">
        <v>10</v>
      </c>
      <c r="E31" s="205" t="s">
        <v>299</v>
      </c>
      <c r="F31" s="176" t="s">
        <v>43</v>
      </c>
      <c r="G31" s="177"/>
      <c r="H31" s="184"/>
      <c r="I31" s="188">
        <f t="shared" si="7"/>
        <v>2</v>
      </c>
      <c r="J31" s="189">
        <f t="shared" si="8"/>
        <v>0</v>
      </c>
      <c r="K31" s="220">
        <f t="shared" si="6"/>
        <v>0</v>
      </c>
      <c r="L31" s="38"/>
    </row>
    <row r="32" spans="2:12" ht="30" customHeight="1" x14ac:dyDescent="0.3">
      <c r="B32" s="37" t="str">
        <f t="shared" si="0"/>
        <v>IWeb</v>
      </c>
      <c r="C32" s="2">
        <f>IF(ISTEXT(D32),MAX($C$4:$C31)+1,"")</f>
        <v>28</v>
      </c>
      <c r="D32" s="159" t="s">
        <v>10</v>
      </c>
      <c r="E32" s="205" t="s">
        <v>1221</v>
      </c>
      <c r="F32" s="176" t="s">
        <v>43</v>
      </c>
      <c r="G32" s="177"/>
      <c r="H32" s="184"/>
      <c r="I32" s="188">
        <f t="shared" si="7"/>
        <v>2</v>
      </c>
      <c r="J32" s="189">
        <f t="shared" si="8"/>
        <v>0</v>
      </c>
      <c r="K32" s="220">
        <f t="shared" si="6"/>
        <v>0</v>
      </c>
      <c r="L32" s="38"/>
    </row>
    <row r="33" spans="2:12" ht="30" customHeight="1" x14ac:dyDescent="0.3">
      <c r="B33" s="37" t="str">
        <f t="shared" si="0"/>
        <v>IWeb</v>
      </c>
      <c r="C33" s="2">
        <f>IF(ISTEXT(D33),MAX($C$4:$C32)+1,"")</f>
        <v>29</v>
      </c>
      <c r="D33" s="159" t="s">
        <v>10</v>
      </c>
      <c r="E33" s="205" t="s">
        <v>1222</v>
      </c>
      <c r="F33" s="176" t="s">
        <v>43</v>
      </c>
      <c r="G33" s="177"/>
      <c r="H33" s="184"/>
      <c r="I33" s="188">
        <f t="shared" si="7"/>
        <v>2</v>
      </c>
      <c r="J33" s="189">
        <f t="shared" si="8"/>
        <v>0</v>
      </c>
      <c r="K33" s="220">
        <f t="shared" si="6"/>
        <v>0</v>
      </c>
      <c r="L33" s="38"/>
    </row>
    <row r="34" spans="2:12" ht="30" customHeight="1" x14ac:dyDescent="0.3">
      <c r="B34" s="37" t="str">
        <f t="shared" si="0"/>
        <v>IWeb</v>
      </c>
      <c r="C34" s="2">
        <f>IF(ISTEXT(D34),MAX($C$4:$C33)+1,"")</f>
        <v>30</v>
      </c>
      <c r="D34" s="159" t="s">
        <v>10</v>
      </c>
      <c r="E34" s="205" t="s">
        <v>1223</v>
      </c>
      <c r="F34" s="176" t="s">
        <v>43</v>
      </c>
      <c r="G34" s="177"/>
      <c r="H34" s="184"/>
      <c r="I34" s="188">
        <f t="shared" si="7"/>
        <v>2</v>
      </c>
      <c r="J34" s="189">
        <f t="shared" si="8"/>
        <v>0</v>
      </c>
      <c r="K34" s="220">
        <f t="shared" si="6"/>
        <v>0</v>
      </c>
      <c r="L34" s="38"/>
    </row>
    <row r="35" spans="2:12" ht="30" customHeight="1" x14ac:dyDescent="0.3">
      <c r="B35" s="37" t="str">
        <f t="shared" si="0"/>
        <v>IWeb</v>
      </c>
      <c r="C35" s="2">
        <f>IF(ISTEXT(D35),MAX($C$4:$C34)+1,"")</f>
        <v>31</v>
      </c>
      <c r="D35" s="159" t="s">
        <v>10</v>
      </c>
      <c r="E35" s="205" t="s">
        <v>1224</v>
      </c>
      <c r="F35" s="176" t="s">
        <v>43</v>
      </c>
      <c r="G35" s="177"/>
      <c r="H35" s="184"/>
      <c r="I35" s="188">
        <f t="shared" ref="I35:I40" si="9">VLOOKUP($D35,SpecData,2,FALSE)</f>
        <v>2</v>
      </c>
      <c r="J35" s="189">
        <f t="shared" ref="J35:J40" si="10">VLOOKUP($F35,AvailabilityData,2,FALSE)</f>
        <v>0</v>
      </c>
      <c r="K35" s="220">
        <f>I35*J35</f>
        <v>0</v>
      </c>
      <c r="L35" s="38"/>
    </row>
    <row r="36" spans="2:12" ht="30" customHeight="1" x14ac:dyDescent="0.3">
      <c r="B36" s="37" t="str">
        <f t="shared" si="0"/>
        <v>IWeb</v>
      </c>
      <c r="C36" s="2">
        <f>IF(ISTEXT(D36),MAX($C$4:$C35)+1,"")</f>
        <v>32</v>
      </c>
      <c r="D36" s="159" t="s">
        <v>10</v>
      </c>
      <c r="E36" s="205" t="s">
        <v>1225</v>
      </c>
      <c r="F36" s="176" t="s">
        <v>43</v>
      </c>
      <c r="G36" s="177"/>
      <c r="H36" s="184"/>
      <c r="I36" s="188">
        <f t="shared" si="9"/>
        <v>2</v>
      </c>
      <c r="J36" s="189">
        <f t="shared" si="10"/>
        <v>0</v>
      </c>
      <c r="K36" s="220">
        <f t="shared" ref="K36:K40" si="11">I36*J36</f>
        <v>0</v>
      </c>
      <c r="L36" s="38"/>
    </row>
    <row r="37" spans="2:12" ht="30" customHeight="1" x14ac:dyDescent="0.3">
      <c r="B37" s="37" t="str">
        <f t="shared" si="0"/>
        <v>IWeb</v>
      </c>
      <c r="C37" s="2">
        <f>IF(ISTEXT(D37),MAX($C$4:$C36)+1,"")</f>
        <v>33</v>
      </c>
      <c r="D37" s="159" t="s">
        <v>10</v>
      </c>
      <c r="E37" s="205" t="s">
        <v>1226</v>
      </c>
      <c r="F37" s="176" t="s">
        <v>43</v>
      </c>
      <c r="G37" s="177"/>
      <c r="H37" s="184"/>
      <c r="I37" s="188">
        <f t="shared" si="9"/>
        <v>2</v>
      </c>
      <c r="J37" s="189">
        <f t="shared" si="10"/>
        <v>0</v>
      </c>
      <c r="K37" s="220">
        <f t="shared" si="11"/>
        <v>0</v>
      </c>
      <c r="L37" s="38"/>
    </row>
    <row r="38" spans="2:12" ht="30" customHeight="1" x14ac:dyDescent="0.3">
      <c r="B38" s="37" t="str">
        <f t="shared" si="0"/>
        <v>IWeb</v>
      </c>
      <c r="C38" s="2">
        <f>IF(ISTEXT(D38),MAX($C$4:$C37)+1,"")</f>
        <v>34</v>
      </c>
      <c r="D38" s="159" t="s">
        <v>10</v>
      </c>
      <c r="E38" s="205" t="s">
        <v>1227</v>
      </c>
      <c r="F38" s="176" t="s">
        <v>43</v>
      </c>
      <c r="G38" s="177"/>
      <c r="H38" s="184"/>
      <c r="I38" s="188">
        <f t="shared" si="9"/>
        <v>2</v>
      </c>
      <c r="J38" s="189">
        <f t="shared" si="10"/>
        <v>0</v>
      </c>
      <c r="K38" s="220">
        <f t="shared" si="11"/>
        <v>0</v>
      </c>
      <c r="L38" s="38"/>
    </row>
    <row r="39" spans="2:12" ht="30" customHeight="1" x14ac:dyDescent="0.3">
      <c r="B39" s="37" t="str">
        <f t="shared" si="0"/>
        <v>IWeb</v>
      </c>
      <c r="C39" s="2">
        <f>IF(ISTEXT(D39),MAX($C$4:$C38)+1,"")</f>
        <v>35</v>
      </c>
      <c r="D39" s="159" t="s">
        <v>10</v>
      </c>
      <c r="E39" s="205" t="s">
        <v>1228</v>
      </c>
      <c r="F39" s="176" t="s">
        <v>43</v>
      </c>
      <c r="G39" s="177"/>
      <c r="H39" s="184"/>
      <c r="I39" s="188">
        <f t="shared" si="9"/>
        <v>2</v>
      </c>
      <c r="J39" s="189">
        <f t="shared" si="10"/>
        <v>0</v>
      </c>
      <c r="K39" s="220">
        <f t="shared" si="11"/>
        <v>0</v>
      </c>
      <c r="L39" s="38"/>
    </row>
    <row r="40" spans="2:12" ht="30" customHeight="1" x14ac:dyDescent="0.3">
      <c r="B40" s="37" t="str">
        <f t="shared" si="0"/>
        <v>IWeb</v>
      </c>
      <c r="C40" s="2">
        <f>IF(ISTEXT(D40),MAX($C$4:$C39)+1,"")</f>
        <v>36</v>
      </c>
      <c r="D40" s="159" t="s">
        <v>10</v>
      </c>
      <c r="E40" s="205" t="s">
        <v>1229</v>
      </c>
      <c r="F40" s="176" t="s">
        <v>43</v>
      </c>
      <c r="G40" s="177"/>
      <c r="H40" s="184"/>
      <c r="I40" s="188">
        <f t="shared" si="9"/>
        <v>2</v>
      </c>
      <c r="J40" s="189">
        <f t="shared" si="10"/>
        <v>0</v>
      </c>
      <c r="K40" s="220">
        <f t="shared" si="11"/>
        <v>0</v>
      </c>
      <c r="L40" s="38"/>
    </row>
    <row r="41" spans="2:12" ht="30" customHeight="1" x14ac:dyDescent="0.3">
      <c r="B41" s="37" t="str">
        <f t="shared" si="0"/>
        <v>IWeb</v>
      </c>
      <c r="C41" s="2">
        <f>IF(ISTEXT(D41),MAX($C$4:$C40)+1,"")</f>
        <v>37</v>
      </c>
      <c r="D41" s="159" t="s">
        <v>10</v>
      </c>
      <c r="E41" s="205" t="s">
        <v>1230</v>
      </c>
      <c r="F41" s="176" t="s">
        <v>43</v>
      </c>
      <c r="G41" s="177"/>
      <c r="H41" s="184"/>
      <c r="I41" s="188">
        <f t="shared" ref="I41:I43" si="12">VLOOKUP($D41,SpecData,2,FALSE)</f>
        <v>2</v>
      </c>
      <c r="J41" s="189">
        <f t="shared" ref="J41:J43" si="13">VLOOKUP($F41,AvailabilityData,2,FALSE)</f>
        <v>0</v>
      </c>
      <c r="K41" s="220">
        <f>I41*J41</f>
        <v>0</v>
      </c>
      <c r="L41" s="38"/>
    </row>
    <row r="42" spans="2:12" ht="62.25" customHeight="1" x14ac:dyDescent="0.3">
      <c r="B42" s="37" t="str">
        <f t="shared" si="0"/>
        <v>IWeb</v>
      </c>
      <c r="C42" s="2">
        <f>IF(ISTEXT(D42),MAX($C$4:$C41)+1,"")</f>
        <v>38</v>
      </c>
      <c r="D42" s="159" t="s">
        <v>9</v>
      </c>
      <c r="E42" s="256" t="s">
        <v>1231</v>
      </c>
      <c r="F42" s="176" t="s">
        <v>43</v>
      </c>
      <c r="G42" s="177"/>
      <c r="H42" s="184"/>
      <c r="I42" s="188">
        <f t="shared" si="12"/>
        <v>3</v>
      </c>
      <c r="J42" s="189">
        <f t="shared" si="13"/>
        <v>0</v>
      </c>
      <c r="K42" s="220">
        <f t="shared" ref="K42:K43" si="14">I42*J42</f>
        <v>0</v>
      </c>
      <c r="L42" s="38"/>
    </row>
    <row r="43" spans="2:12" ht="62.25" customHeight="1" x14ac:dyDescent="0.3">
      <c r="B43" s="164" t="str">
        <f t="shared" si="0"/>
        <v>IWeb</v>
      </c>
      <c r="C43" s="165">
        <f>IF(ISTEXT(D43),MAX($C$4:$C42)+1,"")</f>
        <v>39</v>
      </c>
      <c r="D43" s="159" t="s">
        <v>11</v>
      </c>
      <c r="E43" s="336" t="s">
        <v>1232</v>
      </c>
      <c r="F43" s="176" t="s">
        <v>43</v>
      </c>
      <c r="G43" s="192"/>
      <c r="H43" s="193"/>
      <c r="I43" s="190">
        <f t="shared" si="12"/>
        <v>1</v>
      </c>
      <c r="J43" s="191">
        <f t="shared" si="13"/>
        <v>0</v>
      </c>
      <c r="K43" s="224">
        <f t="shared" si="14"/>
        <v>0</v>
      </c>
      <c r="L43" s="39"/>
    </row>
    <row r="44" spans="2:12" ht="62.25" hidden="1" customHeight="1" x14ac:dyDescent="0.3">
      <c r="B44" s="212"/>
      <c r="C44" s="212"/>
      <c r="D44" s="213"/>
      <c r="E44" s="366"/>
      <c r="F44" s="367"/>
      <c r="H44" s="216"/>
      <c r="I44" s="217"/>
      <c r="J44" s="218"/>
      <c r="K44" s="217"/>
      <c r="L44" s="207"/>
    </row>
    <row r="45" spans="2:12" ht="62.25" hidden="1" customHeight="1" x14ac:dyDescent="0.3">
      <c r="B45" s="212"/>
      <c r="C45" s="212"/>
      <c r="D45" s="213"/>
      <c r="E45" s="366"/>
      <c r="F45" s="367"/>
      <c r="H45" s="216"/>
      <c r="I45" s="217"/>
      <c r="J45" s="218"/>
      <c r="K45" s="217"/>
      <c r="L45" s="207"/>
    </row>
    <row r="46" spans="2:12" ht="5.0999999999999996" customHeight="1" x14ac:dyDescent="0.3">
      <c r="B46" s="212"/>
      <c r="C46" s="212"/>
      <c r="D46" s="213"/>
      <c r="E46" s="366"/>
      <c r="F46" s="367"/>
      <c r="H46" s="216"/>
      <c r="I46" s="217"/>
      <c r="J46" s="218"/>
      <c r="K46" s="217"/>
      <c r="L46" s="207"/>
    </row>
  </sheetData>
  <sheetProtection algorithmName="SHA-512" hashValue="Y+45Ac423nPBdrpKHQSLaodQoPhSDwGCGWsrLUgo6ElnR674kxTqNCsLb8YnYpTEGFRgAELCJfmM88CXcDnHog==" saltValue="YxvIUGmq4WQLrA10DxaSQw==" spinCount="100000" sheet="1" selectLockedCells="1"/>
  <conditionalFormatting sqref="D4:D19">
    <cfRule type="cellIs" dxfId="17" priority="4" operator="equal">
      <formula>"Important"</formula>
    </cfRule>
    <cfRule type="cellIs" dxfId="16" priority="5" operator="equal">
      <formula>"Crucial"</formula>
    </cfRule>
    <cfRule type="cellIs" dxfId="15" priority="6" operator="equal">
      <formula>"N/A"</formula>
    </cfRule>
  </conditionalFormatting>
  <conditionalFormatting sqref="D21:D46">
    <cfRule type="cellIs" dxfId="14" priority="19" operator="equal">
      <formula>"Important"</formula>
    </cfRule>
    <cfRule type="cellIs" dxfId="13" priority="20" operator="equal">
      <formula>"Crucial"</formula>
    </cfRule>
    <cfRule type="cellIs" dxfId="12" priority="21" operator="equal">
      <formula>"N/A"</formula>
    </cfRule>
  </conditionalFormatting>
  <conditionalFormatting sqref="F4:F46">
    <cfRule type="cellIs" dxfId="11" priority="1" operator="equal">
      <formula>"Function Not Available"</formula>
    </cfRule>
    <cfRule type="cellIs" dxfId="10" priority="2" operator="equal">
      <formula>"Function Available"</formula>
    </cfRule>
    <cfRule type="cellIs" dxfId="9" priority="3" operator="equal">
      <formula>"Exception"</formula>
    </cfRule>
  </conditionalFormatting>
  <dataValidations count="3">
    <dataValidation type="list" allowBlank="1" showInputMessage="1" showErrorMessage="1" errorTitle="Invalid specification type" error="Please enter a Specification type from the drop-down list." sqref="F21:F46 F6:F19" xr:uid="{00000000-0002-0000-2200-000000000000}">
      <formula1>AvailabilityType</formula1>
    </dataValidation>
    <dataValidation type="list" allowBlank="1" showInputMessage="1" showErrorMessage="1" errorTitle="Invalid specification type" error="Please enter a Specification type from the drop-down list." sqref="D21:D46 D4:D19" xr:uid="{00000000-0002-0000-2200-000001000000}">
      <formula1>SpecType</formula1>
    </dataValidation>
    <dataValidation type="list" allowBlank="1" showInputMessage="1" showErrorMessage="1" sqref="F4:F5" xr:uid="{00000000-0002-0000-22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DBCB9-821E-4CA0-BF14-E4B0BEA96060}">
  <sheetPr>
    <tabColor rgb="FFFFCC00"/>
  </sheetPr>
  <dimension ref="A1:M24"/>
  <sheetViews>
    <sheetView showGridLines="0" zoomScale="80" zoomScaleNormal="80" zoomScalePageLayoutView="40" workbookViewId="0">
      <selection activeCell="E5" sqref="E5"/>
    </sheetView>
  </sheetViews>
  <sheetFormatPr defaultColWidth="0" defaultRowHeight="14.4" zeroHeight="1" x14ac:dyDescent="0.3"/>
  <cols>
    <col min="1" max="1" width="2.441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6" customHeight="1" x14ac:dyDescent="0.3"/>
    <row r="2" spans="2:12" s="158" customFormat="1" ht="129" customHeight="1" thickBot="1" x14ac:dyDescent="0.3">
      <c r="B2" s="96" t="s">
        <v>44</v>
      </c>
      <c r="C2" s="97" t="s">
        <v>45</v>
      </c>
      <c r="D2" s="97" t="s">
        <v>46</v>
      </c>
      <c r="E2" s="97" t="s">
        <v>878</v>
      </c>
      <c r="F2" s="97" t="s">
        <v>42</v>
      </c>
      <c r="G2" s="98" t="s">
        <v>48</v>
      </c>
      <c r="H2" s="98" t="s">
        <v>49</v>
      </c>
      <c r="I2" s="99" t="s">
        <v>50</v>
      </c>
      <c r="J2" s="99" t="s">
        <v>51</v>
      </c>
      <c r="K2" s="100" t="s">
        <v>14</v>
      </c>
      <c r="L2" s="101" t="s">
        <v>52</v>
      </c>
    </row>
    <row r="3" spans="2:12" ht="16.2" thickBot="1" x14ac:dyDescent="0.35">
      <c r="B3" s="8" t="s">
        <v>1281</v>
      </c>
      <c r="C3" s="8"/>
      <c r="D3" s="8"/>
      <c r="E3" s="8"/>
      <c r="F3" s="8"/>
      <c r="G3" s="34" t="s">
        <v>54</v>
      </c>
      <c r="H3" s="7">
        <f>COUNTA(D4:D501)</f>
        <v>19</v>
      </c>
      <c r="I3" s="24"/>
      <c r="J3" s="25" t="s">
        <v>55</v>
      </c>
      <c r="K3" s="26">
        <f>SUM(K4:K501)</f>
        <v>0</v>
      </c>
      <c r="L3" s="8"/>
    </row>
    <row r="4" spans="2:12" ht="59.25" customHeight="1" x14ac:dyDescent="0.3">
      <c r="B4" s="37" t="s">
        <v>880</v>
      </c>
      <c r="C4" s="2">
        <v>1</v>
      </c>
      <c r="D4" s="159" t="s">
        <v>11</v>
      </c>
      <c r="E4" s="36" t="s">
        <v>881</v>
      </c>
      <c r="F4" s="176" t="s">
        <v>43</v>
      </c>
      <c r="G4" s="177" t="s">
        <v>58</v>
      </c>
      <c r="H4" s="178">
        <f>COUNTIF(F4:F501,"Select from Drop Down")</f>
        <v>19</v>
      </c>
      <c r="I4" s="179">
        <f t="shared" ref="I4:I18" si="0">VLOOKUP($D4,SpecData,2,FALSE)</f>
        <v>1</v>
      </c>
      <c r="J4" s="180">
        <f t="shared" ref="J4:J18" si="1">VLOOKUP($F4,AvailabilityData,2,FALSE)</f>
        <v>0</v>
      </c>
      <c r="K4" s="181">
        <f t="shared" ref="K4:K18" si="2">I4*J4</f>
        <v>0</v>
      </c>
      <c r="L4" s="38"/>
    </row>
    <row r="5" spans="2:12" ht="45" customHeight="1" x14ac:dyDescent="0.3">
      <c r="B5" s="37" t="str">
        <f t="shared" ref="B5:B23" si="3">IF(C5="","",$B$4)</f>
        <v>IRMS</v>
      </c>
      <c r="C5" s="2">
        <v>2</v>
      </c>
      <c r="D5" s="159" t="s">
        <v>11</v>
      </c>
      <c r="E5" s="36" t="s">
        <v>882</v>
      </c>
      <c r="F5" s="176" t="s">
        <v>43</v>
      </c>
      <c r="G5" s="177" t="s">
        <v>60</v>
      </c>
      <c r="H5" s="178">
        <f>COUNTIF(F4:F501,"Function Available")</f>
        <v>0</v>
      </c>
      <c r="I5" s="179">
        <f t="shared" si="0"/>
        <v>1</v>
      </c>
      <c r="J5" s="180">
        <f t="shared" si="1"/>
        <v>0</v>
      </c>
      <c r="K5" s="181">
        <f t="shared" si="2"/>
        <v>0</v>
      </c>
      <c r="L5" s="38"/>
    </row>
    <row r="6" spans="2:12" ht="45" customHeight="1" x14ac:dyDescent="0.3">
      <c r="B6" s="37" t="str">
        <f t="shared" si="3"/>
        <v>IRMS</v>
      </c>
      <c r="C6" s="2">
        <v>3</v>
      </c>
      <c r="D6" s="159" t="s">
        <v>11</v>
      </c>
      <c r="E6" s="36" t="s">
        <v>883</v>
      </c>
      <c r="F6" s="176" t="s">
        <v>43</v>
      </c>
      <c r="G6" s="177" t="s">
        <v>62</v>
      </c>
      <c r="H6" s="184">
        <f>COUNTIF(F4:F501,"Function Not Available")</f>
        <v>0</v>
      </c>
      <c r="I6" s="179">
        <f t="shared" si="0"/>
        <v>1</v>
      </c>
      <c r="J6" s="180">
        <f t="shared" si="1"/>
        <v>0</v>
      </c>
      <c r="K6" s="220">
        <f t="shared" si="2"/>
        <v>0</v>
      </c>
      <c r="L6" s="38"/>
    </row>
    <row r="7" spans="2:12" ht="45" customHeight="1" x14ac:dyDescent="0.3">
      <c r="B7" s="37" t="str">
        <f t="shared" si="3"/>
        <v>IRMS</v>
      </c>
      <c r="C7" s="2">
        <f>IF(ISTEXT(D7),MAX($C$6:$C6)+1,"")</f>
        <v>4</v>
      </c>
      <c r="D7" s="159" t="s">
        <v>11</v>
      </c>
      <c r="E7" s="36" t="s">
        <v>884</v>
      </c>
      <c r="F7" s="176" t="s">
        <v>43</v>
      </c>
      <c r="G7" s="177" t="s">
        <v>64</v>
      </c>
      <c r="H7" s="184">
        <f>COUNTIF(F4:F501,"Exception")</f>
        <v>0</v>
      </c>
      <c r="I7" s="179">
        <f t="shared" si="0"/>
        <v>1</v>
      </c>
      <c r="J7" s="180">
        <f t="shared" si="1"/>
        <v>0</v>
      </c>
      <c r="K7" s="181">
        <f t="shared" si="2"/>
        <v>0</v>
      </c>
      <c r="L7" s="38"/>
    </row>
    <row r="8" spans="2:12" ht="30" customHeight="1" x14ac:dyDescent="0.3">
      <c r="B8" s="37" t="str">
        <f t="shared" si="3"/>
        <v>IRMS</v>
      </c>
      <c r="C8" s="2">
        <f>IF(ISTEXT(D8),MAX($C$6:$C7)+1,"")</f>
        <v>5</v>
      </c>
      <c r="D8" s="159" t="s">
        <v>11</v>
      </c>
      <c r="E8" s="368" t="s">
        <v>438</v>
      </c>
      <c r="F8" s="176" t="s">
        <v>43</v>
      </c>
      <c r="G8" s="177" t="s">
        <v>66</v>
      </c>
      <c r="H8" s="185">
        <f>COUNTIFS(D:D,"=Crucial",F:F,"=Select From Drop Down")</f>
        <v>0</v>
      </c>
      <c r="I8" s="179">
        <f t="shared" si="0"/>
        <v>1</v>
      </c>
      <c r="J8" s="180">
        <f t="shared" si="1"/>
        <v>0</v>
      </c>
      <c r="K8" s="220">
        <f t="shared" si="2"/>
        <v>0</v>
      </c>
      <c r="L8" s="38"/>
    </row>
    <row r="9" spans="2:12" ht="30" customHeight="1" x14ac:dyDescent="0.3">
      <c r="B9" s="37" t="str">
        <f t="shared" si="3"/>
        <v>IRMS</v>
      </c>
      <c r="C9" s="2">
        <f>IF(ISTEXT(D9),MAX($C$6:$C8)+1,"")</f>
        <v>6</v>
      </c>
      <c r="D9" s="159" t="s">
        <v>11</v>
      </c>
      <c r="E9" s="368" t="s">
        <v>885</v>
      </c>
      <c r="F9" s="176" t="s">
        <v>43</v>
      </c>
      <c r="G9" s="177" t="s">
        <v>68</v>
      </c>
      <c r="H9" s="185">
        <f>COUNTIFS(D:D,"=Crucial",F:F,"=Function Available")</f>
        <v>0</v>
      </c>
      <c r="I9" s="179">
        <f t="shared" si="0"/>
        <v>1</v>
      </c>
      <c r="J9" s="180">
        <f t="shared" si="1"/>
        <v>0</v>
      </c>
      <c r="K9" s="220">
        <f t="shared" si="2"/>
        <v>0</v>
      </c>
      <c r="L9" s="38"/>
    </row>
    <row r="10" spans="2:12" ht="30" customHeight="1" x14ac:dyDescent="0.3">
      <c r="B10" s="37" t="str">
        <f t="shared" si="3"/>
        <v>IRMS</v>
      </c>
      <c r="C10" s="2">
        <f>IF(ISTEXT(D10),MAX($C$6:$C9)+1,"")</f>
        <v>7</v>
      </c>
      <c r="D10" s="159" t="s">
        <v>11</v>
      </c>
      <c r="E10" s="368" t="s">
        <v>886</v>
      </c>
      <c r="F10" s="176" t="s">
        <v>43</v>
      </c>
      <c r="G10" s="177" t="s">
        <v>70</v>
      </c>
      <c r="H10" s="185">
        <f>COUNTIFS(D:D,"=Crucial",F:F,"=Function Not Available")</f>
        <v>0</v>
      </c>
      <c r="I10" s="179">
        <f t="shared" si="0"/>
        <v>1</v>
      </c>
      <c r="J10" s="180">
        <f t="shared" si="1"/>
        <v>0</v>
      </c>
      <c r="K10" s="220">
        <f t="shared" si="2"/>
        <v>0</v>
      </c>
      <c r="L10" s="38"/>
    </row>
    <row r="11" spans="2:12" ht="30" customHeight="1" x14ac:dyDescent="0.3">
      <c r="B11" s="37" t="str">
        <f t="shared" si="3"/>
        <v>IRMS</v>
      </c>
      <c r="C11" s="2">
        <f>IF(ISTEXT(D11),MAX($C$6:$C10)+1,"")</f>
        <v>8</v>
      </c>
      <c r="D11" s="159" t="s">
        <v>11</v>
      </c>
      <c r="E11" s="368" t="s">
        <v>887</v>
      </c>
      <c r="F11" s="176" t="s">
        <v>43</v>
      </c>
      <c r="G11" s="192" t="s">
        <v>72</v>
      </c>
      <c r="H11" s="221">
        <f>COUNTIFS(D:D,"=Crucial",F:F,"=Exception")</f>
        <v>0</v>
      </c>
      <c r="I11" s="222">
        <f t="shared" si="0"/>
        <v>1</v>
      </c>
      <c r="J11" s="223">
        <f t="shared" si="1"/>
        <v>0</v>
      </c>
      <c r="K11" s="224">
        <f t="shared" si="2"/>
        <v>0</v>
      </c>
      <c r="L11" s="41"/>
    </row>
    <row r="12" spans="2:12" ht="30" customHeight="1" x14ac:dyDescent="0.3">
      <c r="B12" s="37" t="str">
        <f t="shared" si="3"/>
        <v>IRMS</v>
      </c>
      <c r="C12" s="2">
        <f>IF(ISTEXT(D12),MAX($C$6:$C11)+1,"")</f>
        <v>9</v>
      </c>
      <c r="D12" s="159" t="s">
        <v>11</v>
      </c>
      <c r="E12" s="368" t="s">
        <v>888</v>
      </c>
      <c r="F12" s="176" t="s">
        <v>43</v>
      </c>
      <c r="G12" s="177" t="s">
        <v>74</v>
      </c>
      <c r="H12" s="185">
        <f>COUNTIFS(D:D,"=Important",F:F,"=Select From Drop Down")</f>
        <v>0</v>
      </c>
      <c r="I12" s="179">
        <f t="shared" si="0"/>
        <v>1</v>
      </c>
      <c r="J12" s="180">
        <f t="shared" si="1"/>
        <v>0</v>
      </c>
      <c r="K12" s="220">
        <f t="shared" si="2"/>
        <v>0</v>
      </c>
      <c r="L12" s="38"/>
    </row>
    <row r="13" spans="2:12" ht="30" customHeight="1" x14ac:dyDescent="0.3">
      <c r="B13" s="37" t="str">
        <f t="shared" si="3"/>
        <v>IRMS</v>
      </c>
      <c r="C13" s="2">
        <f>IF(ISTEXT(D13),MAX($C$6:$C12)+1,"")</f>
        <v>10</v>
      </c>
      <c r="D13" s="159" t="s">
        <v>11</v>
      </c>
      <c r="E13" s="369" t="s">
        <v>889</v>
      </c>
      <c r="F13" s="176" t="s">
        <v>43</v>
      </c>
      <c r="G13" s="192" t="s">
        <v>76</v>
      </c>
      <c r="H13" s="221">
        <f>COUNTIFS(D:D,"=Important",F:F,"=Function Available")</f>
        <v>0</v>
      </c>
      <c r="I13" s="222">
        <f t="shared" si="0"/>
        <v>1</v>
      </c>
      <c r="J13" s="223">
        <f t="shared" si="1"/>
        <v>0</v>
      </c>
      <c r="K13" s="224">
        <f t="shared" si="2"/>
        <v>0</v>
      </c>
      <c r="L13" s="44"/>
    </row>
    <row r="14" spans="2:12" ht="30" customHeight="1" x14ac:dyDescent="0.3">
      <c r="B14" s="37" t="str">
        <f t="shared" si="3"/>
        <v>IRMS</v>
      </c>
      <c r="C14" s="2">
        <f>IF(ISTEXT(D14),MAX($C$6:$C13)+1,"")</f>
        <v>11</v>
      </c>
      <c r="D14" s="159" t="s">
        <v>11</v>
      </c>
      <c r="E14" s="369" t="s">
        <v>1277</v>
      </c>
      <c r="F14" s="176" t="s">
        <v>43</v>
      </c>
      <c r="G14" s="177" t="s">
        <v>78</v>
      </c>
      <c r="H14" s="185">
        <f>COUNTIFS(D:D,"=Important",F:F,"=Function Not Available")</f>
        <v>0</v>
      </c>
      <c r="I14" s="188">
        <f t="shared" si="0"/>
        <v>1</v>
      </c>
      <c r="J14" s="189">
        <f t="shared" si="1"/>
        <v>0</v>
      </c>
      <c r="K14" s="220">
        <f t="shared" si="2"/>
        <v>0</v>
      </c>
      <c r="L14" s="38"/>
    </row>
    <row r="15" spans="2:12" ht="43.5" customHeight="1" x14ac:dyDescent="0.3">
      <c r="B15" s="37" t="str">
        <f t="shared" si="3"/>
        <v>IRMS</v>
      </c>
      <c r="C15" s="2">
        <f>IF(ISTEXT(D15),MAX($C$6:$C14)+1,"")</f>
        <v>12</v>
      </c>
      <c r="D15" s="159" t="s">
        <v>11</v>
      </c>
      <c r="E15" s="36" t="s">
        <v>891</v>
      </c>
      <c r="F15" s="176" t="s">
        <v>43</v>
      </c>
      <c r="G15" s="177" t="s">
        <v>80</v>
      </c>
      <c r="H15" s="185">
        <f>COUNTIFS(D:D,"=Important",F:F,"=Exception")</f>
        <v>0</v>
      </c>
      <c r="I15" s="188">
        <f t="shared" si="0"/>
        <v>1</v>
      </c>
      <c r="J15" s="189">
        <f t="shared" si="1"/>
        <v>0</v>
      </c>
      <c r="K15" s="220">
        <f t="shared" si="2"/>
        <v>0</v>
      </c>
      <c r="L15" s="38"/>
    </row>
    <row r="16" spans="2:12" ht="30" customHeight="1" x14ac:dyDescent="0.3">
      <c r="B16" s="37" t="str">
        <f t="shared" si="3"/>
        <v>IRMS</v>
      </c>
      <c r="C16" s="2">
        <f>IF(ISTEXT(D16),MAX($C$6:$C15)+1,"")</f>
        <v>13</v>
      </c>
      <c r="D16" s="159" t="s">
        <v>11</v>
      </c>
      <c r="E16" s="36" t="s">
        <v>892</v>
      </c>
      <c r="F16" s="176" t="s">
        <v>43</v>
      </c>
      <c r="G16" s="177" t="s">
        <v>82</v>
      </c>
      <c r="H16" s="185">
        <f>COUNTIFS(D:D,"=Minimal",F:F,"=Select From Drop Down")</f>
        <v>19</v>
      </c>
      <c r="I16" s="188">
        <f t="shared" si="0"/>
        <v>1</v>
      </c>
      <c r="J16" s="189">
        <f t="shared" si="1"/>
        <v>0</v>
      </c>
      <c r="K16" s="220">
        <f t="shared" si="2"/>
        <v>0</v>
      </c>
      <c r="L16" s="38"/>
    </row>
    <row r="17" spans="2:12" ht="47.25" customHeight="1" x14ac:dyDescent="0.3">
      <c r="B17" s="37" t="str">
        <f t="shared" si="3"/>
        <v>IRMS</v>
      </c>
      <c r="C17" s="2">
        <f>IF(ISTEXT(D17),MAX($C$6:$C16)+1,"")</f>
        <v>14</v>
      </c>
      <c r="D17" s="159" t="s">
        <v>11</v>
      </c>
      <c r="E17" s="36" t="s">
        <v>893</v>
      </c>
      <c r="F17" s="176" t="s">
        <v>43</v>
      </c>
      <c r="G17" s="177" t="s">
        <v>84</v>
      </c>
      <c r="H17" s="185">
        <f>COUNTIFS(D:D,"=Minimal",F:F,"=Function Available")</f>
        <v>0</v>
      </c>
      <c r="I17" s="188">
        <f t="shared" si="0"/>
        <v>1</v>
      </c>
      <c r="J17" s="189">
        <f t="shared" si="1"/>
        <v>0</v>
      </c>
      <c r="K17" s="220">
        <f t="shared" si="2"/>
        <v>0</v>
      </c>
      <c r="L17" s="38"/>
    </row>
    <row r="18" spans="2:12" ht="44.25" customHeight="1" x14ac:dyDescent="0.3">
      <c r="B18" s="37" t="str">
        <f t="shared" si="3"/>
        <v>IRMS</v>
      </c>
      <c r="C18" s="2">
        <f>IF(ISTEXT(D18),MAX($C$6:$C17)+1,"")</f>
        <v>15</v>
      </c>
      <c r="D18" s="159" t="s">
        <v>11</v>
      </c>
      <c r="E18" s="336" t="s">
        <v>894</v>
      </c>
      <c r="F18" s="176" t="s">
        <v>43</v>
      </c>
      <c r="G18" s="177" t="s">
        <v>86</v>
      </c>
      <c r="H18" s="185">
        <f>COUNTIFS(D:D,"=Minimal",F:F,"=Function Not Available")</f>
        <v>0</v>
      </c>
      <c r="I18" s="188">
        <f t="shared" si="0"/>
        <v>1</v>
      </c>
      <c r="J18" s="189">
        <f t="shared" si="1"/>
        <v>0</v>
      </c>
      <c r="K18" s="220">
        <f t="shared" si="2"/>
        <v>0</v>
      </c>
      <c r="L18" s="38"/>
    </row>
    <row r="19" spans="2:12" ht="30" customHeight="1" x14ac:dyDescent="0.3">
      <c r="B19" s="40" t="str">
        <f t="shared" si="3"/>
        <v/>
      </c>
      <c r="C19" s="1" t="str">
        <f>IF(ISTEXT(D19),MAX($C$6:$C18)+1,"")</f>
        <v/>
      </c>
      <c r="D19" s="3"/>
      <c r="E19" s="333" t="s">
        <v>895</v>
      </c>
      <c r="F19" s="115"/>
      <c r="G19" s="31"/>
      <c r="H19" s="31"/>
      <c r="I19" s="31"/>
      <c r="J19" s="31"/>
      <c r="K19" s="31"/>
      <c r="L19" s="31"/>
    </row>
    <row r="20" spans="2:12" ht="30" customHeight="1" x14ac:dyDescent="0.3">
      <c r="B20" s="37" t="str">
        <f t="shared" si="3"/>
        <v>IRMS</v>
      </c>
      <c r="C20" s="2">
        <f>IF(ISTEXT(D20),MAX($C$6:$C18)+1,"")</f>
        <v>16</v>
      </c>
      <c r="D20" s="159" t="s">
        <v>11</v>
      </c>
      <c r="E20" s="338" t="s">
        <v>896</v>
      </c>
      <c r="F20" s="176" t="s">
        <v>43</v>
      </c>
      <c r="G20" s="177" t="s">
        <v>88</v>
      </c>
      <c r="H20" s="185">
        <f>COUNTIFS(D:D,"=Minimal",F:F,"=Exception")</f>
        <v>0</v>
      </c>
      <c r="I20" s="188">
        <f>VLOOKUP($D20,SpecData,2,FALSE)</f>
        <v>1</v>
      </c>
      <c r="J20" s="189">
        <f>VLOOKUP($F20,AvailabilityData,2,FALSE)</f>
        <v>0</v>
      </c>
      <c r="K20" s="220">
        <f>I20*J20</f>
        <v>0</v>
      </c>
      <c r="L20" s="38"/>
    </row>
    <row r="21" spans="2:12" ht="30" customHeight="1" x14ac:dyDescent="0.3">
      <c r="B21" s="37" t="str">
        <f t="shared" si="3"/>
        <v>IRMS</v>
      </c>
      <c r="C21" s="2">
        <f>IF(ISTEXT(D21),MAX($C$6:$C20)+1,"")</f>
        <v>17</v>
      </c>
      <c r="D21" s="159" t="s">
        <v>11</v>
      </c>
      <c r="E21" s="334" t="s">
        <v>458</v>
      </c>
      <c r="F21" s="176" t="s">
        <v>43</v>
      </c>
      <c r="G21" s="177"/>
      <c r="H21" s="184"/>
      <c r="I21" s="188">
        <f>VLOOKUP($D21,SpecData,2,FALSE)</f>
        <v>1</v>
      </c>
      <c r="J21" s="189">
        <f>VLOOKUP($F21,AvailabilityData,2,FALSE)</f>
        <v>0</v>
      </c>
      <c r="K21" s="220">
        <f>I21*J21</f>
        <v>0</v>
      </c>
      <c r="L21" s="38"/>
    </row>
    <row r="22" spans="2:12" ht="30" customHeight="1" x14ac:dyDescent="0.3">
      <c r="B22" s="37" t="str">
        <f t="shared" si="3"/>
        <v>IRMS</v>
      </c>
      <c r="C22" s="2">
        <f>IF(ISTEXT(D22),MAX($C$6:$C21)+1,"")</f>
        <v>18</v>
      </c>
      <c r="D22" s="159" t="s">
        <v>11</v>
      </c>
      <c r="E22" s="334" t="s">
        <v>897</v>
      </c>
      <c r="F22" s="176" t="s">
        <v>43</v>
      </c>
      <c r="G22" s="177"/>
      <c r="H22" s="184"/>
      <c r="I22" s="188">
        <f>VLOOKUP($D22,SpecData,2,FALSE)</f>
        <v>1</v>
      </c>
      <c r="J22" s="189">
        <f>VLOOKUP($F22,AvailabilityData,2,FALSE)</f>
        <v>0</v>
      </c>
      <c r="K22" s="220">
        <f>I22*J22</f>
        <v>0</v>
      </c>
      <c r="L22" s="38"/>
    </row>
    <row r="23" spans="2:12" ht="30" hidden="1" customHeight="1" x14ac:dyDescent="0.3">
      <c r="B23" s="164" t="str">
        <f t="shared" si="3"/>
        <v>IRMS</v>
      </c>
      <c r="C23" s="165">
        <f>IF(ISTEXT(D23),MAX($C$6:$C22)+1,"")</f>
        <v>19</v>
      </c>
      <c r="D23" s="335" t="s">
        <v>11</v>
      </c>
      <c r="E23" s="336" t="s">
        <v>898</v>
      </c>
      <c r="F23" s="109" t="s">
        <v>43</v>
      </c>
      <c r="G23" s="87"/>
      <c r="H23" s="88"/>
      <c r="I23" s="89">
        <f>VLOOKUP($D23,SpecData,2,FALSE)</f>
        <v>1</v>
      </c>
      <c r="J23" s="90">
        <f>VLOOKUP($F23,AvailabilityData,2,FALSE)</f>
        <v>0</v>
      </c>
      <c r="K23" s="206">
        <f>I23*J23</f>
        <v>0</v>
      </c>
      <c r="L23" s="166"/>
    </row>
    <row r="24" spans="2:12" ht="7.5" customHeight="1" x14ac:dyDescent="0.3"/>
  </sheetData>
  <sheetProtection selectLockedCells="1"/>
  <conditionalFormatting sqref="D4:D18">
    <cfRule type="cellIs" dxfId="8" priority="10" operator="equal">
      <formula>"Important"</formula>
    </cfRule>
    <cfRule type="cellIs" dxfId="7" priority="11" operator="equal">
      <formula>"Crucial"</formula>
    </cfRule>
    <cfRule type="cellIs" dxfId="6" priority="12" operator="equal">
      <formula>"N/A"</formula>
    </cfRule>
  </conditionalFormatting>
  <conditionalFormatting sqref="D20:D23">
    <cfRule type="cellIs" dxfId="5" priority="1" operator="equal">
      <formula>"Important"</formula>
    </cfRule>
    <cfRule type="cellIs" dxfId="4" priority="2" operator="equal">
      <formula>"Crucial"</formula>
    </cfRule>
    <cfRule type="cellIs" dxfId="3" priority="3" operator="equal">
      <formula>"N/A"</formula>
    </cfRule>
  </conditionalFormatting>
  <conditionalFormatting sqref="F4:F23">
    <cfRule type="cellIs" dxfId="2" priority="16" operator="equal">
      <formula>"Function Not Available"</formula>
    </cfRule>
    <cfRule type="cellIs" dxfId="1" priority="17" operator="equal">
      <formula>"Function Available"</formula>
    </cfRule>
    <cfRule type="cellIs" dxfId="0" priority="18" operator="equal">
      <formula>"Exception"</formula>
    </cfRule>
  </conditionalFormatting>
  <dataValidations count="4">
    <dataValidation type="list" allowBlank="1" showInputMessage="1" showErrorMessage="1" sqref="F4:F5" xr:uid="{28C7682B-B773-488F-AEA1-A1167D59523F}">
      <formula1>AvailabilityType</formula1>
    </dataValidation>
    <dataValidation type="list" allowBlank="1" showInputMessage="1" showErrorMessage="1" sqref="D4:D18 D20:D22" xr:uid="{F3FF4F99-F1B6-4009-A965-F7BE40C259F7}">
      <formula1>SpecType</formula1>
    </dataValidation>
    <dataValidation type="list" allowBlank="1" showInputMessage="1" showErrorMessage="1" errorTitle="Invalid specification type" error="Please enter a Specification type from the drop-down list." sqref="D23" xr:uid="{7504B4A1-56C0-452B-BB9C-49FB41071389}">
      <formula1>SpecType</formula1>
    </dataValidation>
    <dataValidation type="list" allowBlank="1" showInputMessage="1" showErrorMessage="1" errorTitle="Invalid specification type" error="Please enter a Specification type from the drop-down list." sqref="F6:F18 F20:F23" xr:uid="{708AF8FE-83D3-4042-A30E-09BC69DE70C0}">
      <formula1>AvailabilityType</formula1>
    </dataValidation>
  </dataValidations>
  <pageMargins left="0.7" right="0.7" top="0.75" bottom="0.75" header="0.3" footer="0.3"/>
  <pageSetup scale="50" fitToHeight="0" orientation="portrait" r:id="rId1"/>
  <headerFooter>
    <oddHeader>&amp;CLos Alamos, NM
&amp;F&amp;R&amp;A</oddHeader>
    <oddFooter>&amp;LTSSI Consulting LLC, June 2015&amp;CPage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sheetPr>
  <dimension ref="A1:M20"/>
  <sheetViews>
    <sheetView showGridLines="0" zoomScale="80" zoomScaleNormal="80" zoomScalePageLayoutView="40" workbookViewId="0">
      <selection activeCell="F4" sqref="F4"/>
    </sheetView>
  </sheetViews>
  <sheetFormatPr defaultColWidth="0" defaultRowHeight="14.4" zeroHeight="1" x14ac:dyDescent="0.3"/>
  <cols>
    <col min="1" max="1" width="1.332031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6" customHeight="1" thickBot="1" x14ac:dyDescent="0.35"/>
    <row r="2" spans="2:12" s="158" customFormat="1" ht="129" customHeight="1" thickBot="1" x14ac:dyDescent="0.3">
      <c r="B2" s="102" t="s">
        <v>44</v>
      </c>
      <c r="C2" s="102" t="s">
        <v>45</v>
      </c>
      <c r="D2" s="102" t="s">
        <v>46</v>
      </c>
      <c r="E2" s="102" t="s">
        <v>109</v>
      </c>
      <c r="F2" s="102" t="s">
        <v>42</v>
      </c>
      <c r="G2" s="103" t="s">
        <v>48</v>
      </c>
      <c r="H2" s="103" t="s">
        <v>49</v>
      </c>
      <c r="I2" s="104" t="s">
        <v>50</v>
      </c>
      <c r="J2" s="104" t="s">
        <v>51</v>
      </c>
      <c r="K2" s="105" t="s">
        <v>14</v>
      </c>
      <c r="L2" s="106" t="s">
        <v>52</v>
      </c>
    </row>
    <row r="3" spans="2:12" ht="16.2" thickBot="1" x14ac:dyDescent="0.35">
      <c r="B3" s="45" t="s">
        <v>110</v>
      </c>
      <c r="C3" s="8"/>
      <c r="D3" s="8"/>
      <c r="E3" s="8"/>
      <c r="F3" s="8"/>
      <c r="G3" s="34" t="s">
        <v>54</v>
      </c>
      <c r="H3" s="7">
        <f>COUNTA(D4:D478)</f>
        <v>9</v>
      </c>
      <c r="I3" s="24"/>
      <c r="J3" s="25" t="s">
        <v>55</v>
      </c>
      <c r="K3" s="26">
        <f t="shared" ref="K3" si="0">SUM(K4:K478)</f>
        <v>0</v>
      </c>
      <c r="L3" s="46"/>
    </row>
    <row r="4" spans="2:12" ht="30" customHeight="1" x14ac:dyDescent="0.3">
      <c r="B4" s="48" t="s">
        <v>111</v>
      </c>
      <c r="C4" s="2">
        <v>1</v>
      </c>
      <c r="D4" s="159" t="s">
        <v>10</v>
      </c>
      <c r="E4" s="167" t="s">
        <v>112</v>
      </c>
      <c r="F4" s="176" t="s">
        <v>43</v>
      </c>
      <c r="G4" s="177" t="s">
        <v>58</v>
      </c>
      <c r="H4" s="178">
        <f>COUNTIF(F4:F478,"Select from Drop Down")</f>
        <v>9</v>
      </c>
      <c r="I4" s="179">
        <f>VLOOKUP($D4,SpecData,2,FALSE)</f>
        <v>2</v>
      </c>
      <c r="J4" s="180">
        <f>VLOOKUP($F4,AvailabilityData,2,FALSE)</f>
        <v>0</v>
      </c>
      <c r="K4" s="181">
        <f>I4*J4</f>
        <v>0</v>
      </c>
      <c r="L4" s="47"/>
    </row>
    <row r="5" spans="2:12" ht="30" customHeight="1" x14ac:dyDescent="0.3">
      <c r="B5" s="48" t="str">
        <f>IF(C5="","",$B$4)</f>
        <v>IAlm</v>
      </c>
      <c r="C5" s="2">
        <f>IF(ISTEXT(D5),MAX($C$4:$C4)+1,"")</f>
        <v>2</v>
      </c>
      <c r="D5" s="159" t="s">
        <v>10</v>
      </c>
      <c r="E5" s="55" t="s">
        <v>113</v>
      </c>
      <c r="F5" s="182" t="s">
        <v>43</v>
      </c>
      <c r="G5" s="177" t="s">
        <v>60</v>
      </c>
      <c r="H5" s="178">
        <f>COUNTIF(F4:F478,"Function Available")</f>
        <v>0</v>
      </c>
      <c r="I5" s="179">
        <f>VLOOKUP($D5,SpecData,2,FALSE)</f>
        <v>2</v>
      </c>
      <c r="J5" s="180">
        <f>VLOOKUP($F5,AvailabilityData,2,FALSE)</f>
        <v>0</v>
      </c>
      <c r="K5" s="181">
        <f t="shared" ref="K5:K12" si="1">I5*J5</f>
        <v>0</v>
      </c>
      <c r="L5" s="47"/>
    </row>
    <row r="6" spans="2:12" ht="41.4" x14ac:dyDescent="0.3">
      <c r="B6" s="48" t="str">
        <f>IF(C6="","",$B$4)</f>
        <v>IAlm</v>
      </c>
      <c r="C6" s="2">
        <f>IF(ISTEXT(D6),MAX($C$4:$C5)+1,"")</f>
        <v>3</v>
      </c>
      <c r="D6" s="159" t="s">
        <v>10</v>
      </c>
      <c r="E6" s="55" t="s">
        <v>114</v>
      </c>
      <c r="F6" s="183" t="s">
        <v>43</v>
      </c>
      <c r="G6" s="177" t="s">
        <v>62</v>
      </c>
      <c r="H6" s="184">
        <f>COUNTIF(F4:F478,"Function Not Available")</f>
        <v>0</v>
      </c>
      <c r="I6" s="179">
        <f t="shared" ref="I6:I12" si="2">VLOOKUP($D6,SpecData,2,FALSE)</f>
        <v>2</v>
      </c>
      <c r="J6" s="180">
        <f t="shared" ref="J6:J12" si="3">VLOOKUP($F6,AvailabilityData,2,FALSE)</f>
        <v>0</v>
      </c>
      <c r="K6" s="181">
        <f t="shared" si="1"/>
        <v>0</v>
      </c>
      <c r="L6" s="47"/>
    </row>
    <row r="7" spans="2:12" ht="30" customHeight="1" x14ac:dyDescent="0.3">
      <c r="B7" s="48" t="str">
        <f t="shared" ref="B7:B12" si="4">IF(C7="","",$B$4)</f>
        <v>IAlm</v>
      </c>
      <c r="C7" s="2">
        <f>IF(ISTEXT(D7),MAX($C$4:$C6)+1,"")</f>
        <v>4</v>
      </c>
      <c r="D7" s="159" t="s">
        <v>10</v>
      </c>
      <c r="E7" s="55" t="s">
        <v>115</v>
      </c>
      <c r="F7" s="182" t="s">
        <v>43</v>
      </c>
      <c r="G7" s="177" t="s">
        <v>64</v>
      </c>
      <c r="H7" s="184">
        <f>COUNTIF(F4:F478,"Exception")</f>
        <v>0</v>
      </c>
      <c r="I7" s="179">
        <f t="shared" si="2"/>
        <v>2</v>
      </c>
      <c r="J7" s="180">
        <f t="shared" si="3"/>
        <v>0</v>
      </c>
      <c r="K7" s="181">
        <f t="shared" si="1"/>
        <v>0</v>
      </c>
      <c r="L7" s="47"/>
    </row>
    <row r="8" spans="2:12" ht="30" customHeight="1" x14ac:dyDescent="0.3">
      <c r="B8" s="48" t="str">
        <f t="shared" si="4"/>
        <v>IAlm</v>
      </c>
      <c r="C8" s="2">
        <f>IF(ISTEXT(D8),MAX($C$4:$C7)+1,"")</f>
        <v>5</v>
      </c>
      <c r="D8" s="159" t="s">
        <v>10</v>
      </c>
      <c r="E8" s="55" t="s">
        <v>116</v>
      </c>
      <c r="F8" s="182" t="s">
        <v>43</v>
      </c>
      <c r="G8" s="177" t="s">
        <v>66</v>
      </c>
      <c r="H8" s="185">
        <f>COUNTIFS(D:D,"=Crucial",F:F,"=Select From Drop Down")</f>
        <v>0</v>
      </c>
      <c r="I8" s="179">
        <f t="shared" si="2"/>
        <v>2</v>
      </c>
      <c r="J8" s="180">
        <f t="shared" si="3"/>
        <v>0</v>
      </c>
      <c r="K8" s="181">
        <f t="shared" si="1"/>
        <v>0</v>
      </c>
      <c r="L8" s="47"/>
    </row>
    <row r="9" spans="2:12" ht="30" customHeight="1" x14ac:dyDescent="0.3">
      <c r="B9" s="48" t="str">
        <f t="shared" si="4"/>
        <v>IAlm</v>
      </c>
      <c r="C9" s="2">
        <f>IF(ISTEXT(D9),MAX($C$4:$C8)+1,"")</f>
        <v>6</v>
      </c>
      <c r="D9" s="159" t="s">
        <v>10</v>
      </c>
      <c r="E9" s="55" t="s">
        <v>117</v>
      </c>
      <c r="F9" s="182" t="s">
        <v>43</v>
      </c>
      <c r="G9" s="177" t="s">
        <v>68</v>
      </c>
      <c r="H9" s="185">
        <f>COUNTIFS(D:D,"=Crucial",F:F,"=Function Available")</f>
        <v>0</v>
      </c>
      <c r="I9" s="179">
        <f t="shared" si="2"/>
        <v>2</v>
      </c>
      <c r="J9" s="180">
        <f t="shared" si="3"/>
        <v>0</v>
      </c>
      <c r="K9" s="181">
        <f t="shared" si="1"/>
        <v>0</v>
      </c>
      <c r="L9" s="47"/>
    </row>
    <row r="10" spans="2:12" ht="30" customHeight="1" x14ac:dyDescent="0.3">
      <c r="B10" s="48" t="str">
        <f t="shared" si="4"/>
        <v>IAlm</v>
      </c>
      <c r="C10" s="2">
        <f>IF(ISTEXT(D10),MAX($C$4:$C9)+1,"")</f>
        <v>7</v>
      </c>
      <c r="D10" s="159" t="s">
        <v>10</v>
      </c>
      <c r="E10" s="55" t="s">
        <v>118</v>
      </c>
      <c r="F10" s="182" t="s">
        <v>43</v>
      </c>
      <c r="G10" s="177" t="s">
        <v>70</v>
      </c>
      <c r="H10" s="185">
        <f>COUNTIFS(D:D,"=Crucial",F:F,"=Function Not Available")</f>
        <v>0</v>
      </c>
      <c r="I10" s="179">
        <f t="shared" si="2"/>
        <v>2</v>
      </c>
      <c r="J10" s="180">
        <f t="shared" si="3"/>
        <v>0</v>
      </c>
      <c r="K10" s="181">
        <f t="shared" si="1"/>
        <v>0</v>
      </c>
      <c r="L10" s="47"/>
    </row>
    <row r="11" spans="2:12" ht="30" customHeight="1" x14ac:dyDescent="0.3">
      <c r="B11" s="48" t="str">
        <f t="shared" si="4"/>
        <v>IAlm</v>
      </c>
      <c r="C11" s="2">
        <f>IF(ISTEXT(D11),MAX($C$4:$C10)+1,"")</f>
        <v>8</v>
      </c>
      <c r="D11" s="159" t="s">
        <v>10</v>
      </c>
      <c r="E11" s="55" t="s">
        <v>119</v>
      </c>
      <c r="F11" s="182" t="s">
        <v>43</v>
      </c>
      <c r="G11" s="177" t="s">
        <v>72</v>
      </c>
      <c r="H11" s="185">
        <f>COUNTIFS(D:D,"=Crucial",F:F,"=Exception")</f>
        <v>0</v>
      </c>
      <c r="I11" s="179">
        <f t="shared" si="2"/>
        <v>2</v>
      </c>
      <c r="J11" s="180">
        <f t="shared" si="3"/>
        <v>0</v>
      </c>
      <c r="K11" s="181">
        <f t="shared" si="1"/>
        <v>0</v>
      </c>
      <c r="L11" s="47"/>
    </row>
    <row r="12" spans="2:12" ht="30" customHeight="1" thickBot="1" x14ac:dyDescent="0.35">
      <c r="B12" s="52" t="str">
        <f t="shared" si="4"/>
        <v>IAlm</v>
      </c>
      <c r="C12" s="53">
        <f>IF(ISTEXT(D12),MAX($C$4:$C11)+1,"")</f>
        <v>9</v>
      </c>
      <c r="D12" s="168" t="s">
        <v>10</v>
      </c>
      <c r="E12" s="169" t="s">
        <v>120</v>
      </c>
      <c r="F12" s="194" t="s">
        <v>43</v>
      </c>
      <c r="G12" s="195" t="s">
        <v>74</v>
      </c>
      <c r="H12" s="196">
        <f>COUNTIFS(D:D,"=Important",F:F,"=Select From Drop Down")</f>
        <v>9</v>
      </c>
      <c r="I12" s="197">
        <f t="shared" si="2"/>
        <v>2</v>
      </c>
      <c r="J12" s="198">
        <f t="shared" si="3"/>
        <v>0</v>
      </c>
      <c r="K12" s="199">
        <f t="shared" si="1"/>
        <v>0</v>
      </c>
      <c r="L12" s="54"/>
    </row>
    <row r="13" spans="2:12" ht="30" hidden="1" customHeight="1" x14ac:dyDescent="0.3">
      <c r="B13" s="170"/>
      <c r="C13" s="61"/>
      <c r="D13" s="171"/>
      <c r="E13" s="172"/>
      <c r="F13" s="121"/>
      <c r="G13" s="34" t="s">
        <v>76</v>
      </c>
      <c r="H13" s="122">
        <f>COUNTIFS(D:D,"=Important",F:F,"=Function Available")</f>
        <v>0</v>
      </c>
      <c r="I13" s="123"/>
      <c r="J13" s="124"/>
      <c r="K13" s="123"/>
      <c r="L13" s="173"/>
    </row>
    <row r="14" spans="2:12" ht="45.75" hidden="1" customHeight="1" x14ac:dyDescent="0.3">
      <c r="B14" s="170"/>
      <c r="C14" s="61"/>
      <c r="D14" s="171"/>
      <c r="E14" s="174"/>
      <c r="F14" s="125"/>
      <c r="G14" s="29" t="s">
        <v>78</v>
      </c>
      <c r="H14" s="126">
        <f>COUNTIFS(D:D,"=Important",F:F,"=Function Not Available")</f>
        <v>0</v>
      </c>
      <c r="I14" s="127"/>
      <c r="J14" s="128"/>
      <c r="K14" s="127"/>
      <c r="L14" s="161"/>
    </row>
    <row r="15" spans="2:12" ht="30" hidden="1" customHeight="1" x14ac:dyDescent="0.3">
      <c r="B15" s="170"/>
      <c r="C15" s="61"/>
      <c r="D15" s="171"/>
      <c r="E15" s="174"/>
      <c r="F15" s="125"/>
      <c r="G15" s="29" t="s">
        <v>80</v>
      </c>
      <c r="H15" s="126">
        <f>COUNTIFS(D:D,"=Important",F:F,"=Exception")</f>
        <v>0</v>
      </c>
      <c r="I15" s="127"/>
      <c r="J15" s="128"/>
      <c r="K15" s="127"/>
      <c r="L15" s="161"/>
    </row>
    <row r="16" spans="2:12" ht="30" hidden="1" customHeight="1" x14ac:dyDescent="0.3">
      <c r="B16" s="170"/>
      <c r="C16" s="61"/>
      <c r="D16" s="171"/>
      <c r="E16" s="62"/>
      <c r="F16" s="175"/>
      <c r="G16" s="29" t="s">
        <v>82</v>
      </c>
      <c r="H16" s="126">
        <f>COUNTIFS(D:D,"=Minimal",F:F,"=Select From Drop Down")</f>
        <v>0</v>
      </c>
      <c r="I16" s="127"/>
      <c r="J16" s="128"/>
      <c r="K16" s="127"/>
      <c r="L16" s="161"/>
    </row>
    <row r="17" spans="2:12" ht="30" hidden="1" customHeight="1" x14ac:dyDescent="0.3">
      <c r="B17" s="170"/>
      <c r="C17" s="61"/>
      <c r="D17" s="171"/>
      <c r="E17" s="62"/>
      <c r="F17" s="125"/>
      <c r="G17" s="29" t="s">
        <v>84</v>
      </c>
      <c r="H17" s="126">
        <f>COUNTIFS(D:D,"=Minimal",F:F,"=Function Available")</f>
        <v>0</v>
      </c>
      <c r="I17" s="127"/>
      <c r="J17" s="128"/>
      <c r="K17" s="127"/>
      <c r="L17" s="161"/>
    </row>
    <row r="18" spans="2:12" ht="30" hidden="1" customHeight="1" x14ac:dyDescent="0.3">
      <c r="B18" s="170"/>
      <c r="C18" s="61"/>
      <c r="D18" s="171"/>
      <c r="E18" s="62"/>
      <c r="F18" s="125"/>
      <c r="G18" s="29" t="s">
        <v>86</v>
      </c>
      <c r="H18" s="126">
        <f>COUNTIFS(D:D,"=Minimal",F:F,"=Function Not Available")</f>
        <v>0</v>
      </c>
      <c r="I18" s="127"/>
      <c r="J18" s="128"/>
      <c r="K18" s="127"/>
      <c r="L18" s="161"/>
    </row>
    <row r="19" spans="2:12" ht="30" hidden="1" customHeight="1" x14ac:dyDescent="0.3">
      <c r="B19" s="170"/>
      <c r="C19" s="61"/>
      <c r="D19" s="171"/>
      <c r="E19" s="62"/>
      <c r="F19" s="125"/>
      <c r="G19" s="29" t="s">
        <v>88</v>
      </c>
      <c r="H19" s="126">
        <f>COUNTIFS(D:D,"=Minimal",F:F,"=Exception")</f>
        <v>0</v>
      </c>
      <c r="I19" s="127"/>
      <c r="J19" s="128"/>
      <c r="K19" s="127"/>
      <c r="L19" s="161"/>
    </row>
    <row r="20" spans="2:12" ht="7.5" hidden="1" customHeight="1" x14ac:dyDescent="0.3"/>
  </sheetData>
  <sheetProtection algorithmName="SHA-512" hashValue="TM8Dhvv5zynMrdTYdiut2kTYQxV+CtKKhbmsjIU80zAQ5+IlWAKtqR4TLSKgkVcT+SsM/Kecm5E7TQKnZBJ2xw==" saltValue="+T+hAB1mM0Ycrcd/eSup/g==" spinCount="100000" sheet="1" selectLockedCells="1"/>
  <conditionalFormatting sqref="D4:D19">
    <cfRule type="cellIs" dxfId="338" priority="1" operator="equal">
      <formula>"Important"</formula>
    </cfRule>
    <cfRule type="cellIs" dxfId="337" priority="2" operator="equal">
      <formula>"Crucial"</formula>
    </cfRule>
    <cfRule type="cellIs" dxfId="336" priority="3" operator="equal">
      <formula>"N/A"</formula>
    </cfRule>
  </conditionalFormatting>
  <conditionalFormatting sqref="F4:F19">
    <cfRule type="cellIs" dxfId="335" priority="7" operator="equal">
      <formula>"Function Not Available"</formula>
    </cfRule>
    <cfRule type="cellIs" dxfId="334" priority="8" operator="equal">
      <formula>"Function Available"</formula>
    </cfRule>
    <cfRule type="cellIs" dxfId="333" priority="9" operator="equal">
      <formula>"Exception"</formula>
    </cfRule>
  </conditionalFormatting>
  <dataValidations count="3">
    <dataValidation type="list" allowBlank="1" showInputMessage="1" showErrorMessage="1" sqref="F4:F5" xr:uid="{00000000-0002-0000-0300-000000000000}">
      <formula1>AvailabilityType</formula1>
    </dataValidation>
    <dataValidation type="list" allowBlank="1" showInputMessage="1" showErrorMessage="1" sqref="D4:D12" xr:uid="{8A9DD2DB-33BF-4E60-B654-53B1C07E1790}">
      <formula1>SpecType</formula1>
    </dataValidation>
    <dataValidation type="list" allowBlank="1" showInputMessage="1" showErrorMessage="1" errorTitle="Invalid specification type" error="Please enter a Specification type from the drop-down list." sqref="F6:F12" xr:uid="{00000000-0002-0000-03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00"/>
  </sheetPr>
  <dimension ref="A1:M20"/>
  <sheetViews>
    <sheetView showGridLines="0" zoomScale="90" zoomScaleNormal="9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3" customHeight="1" thickBot="1" x14ac:dyDescent="0.35"/>
    <row r="2" spans="2:12" s="158" customFormat="1" ht="129" customHeight="1" thickBot="1" x14ac:dyDescent="0.3">
      <c r="B2" s="102" t="s">
        <v>44</v>
      </c>
      <c r="C2" s="102" t="s">
        <v>45</v>
      </c>
      <c r="D2" s="102" t="s">
        <v>46</v>
      </c>
      <c r="E2" s="102" t="s">
        <v>121</v>
      </c>
      <c r="F2" s="102" t="s">
        <v>42</v>
      </c>
      <c r="G2" s="103" t="s">
        <v>48</v>
      </c>
      <c r="H2" s="103" t="s">
        <v>49</v>
      </c>
      <c r="I2" s="104" t="s">
        <v>50</v>
      </c>
      <c r="J2" s="104" t="s">
        <v>51</v>
      </c>
      <c r="K2" s="105" t="s">
        <v>14</v>
      </c>
      <c r="L2" s="106" t="s">
        <v>52</v>
      </c>
    </row>
    <row r="3" spans="2:12" ht="16.2" thickBot="1" x14ac:dyDescent="0.35">
      <c r="B3" s="45" t="s">
        <v>122</v>
      </c>
      <c r="C3" s="8"/>
      <c r="D3" s="8"/>
      <c r="E3" s="8"/>
      <c r="F3" s="8"/>
      <c r="G3" s="34" t="s">
        <v>54</v>
      </c>
      <c r="H3" s="7">
        <f>COUNTA(D4:D478)</f>
        <v>8</v>
      </c>
      <c r="I3" s="24"/>
      <c r="J3" s="25" t="s">
        <v>55</v>
      </c>
      <c r="K3" s="26">
        <f t="shared" ref="K3" si="0">SUM(K4:K478)</f>
        <v>0</v>
      </c>
      <c r="L3" s="46"/>
    </row>
    <row r="4" spans="2:12" ht="30" customHeight="1" x14ac:dyDescent="0.3">
      <c r="B4" s="48" t="s">
        <v>111</v>
      </c>
      <c r="C4" s="2">
        <v>1</v>
      </c>
      <c r="D4" s="159" t="s">
        <v>11</v>
      </c>
      <c r="E4" s="55" t="s">
        <v>123</v>
      </c>
      <c r="F4" s="176" t="s">
        <v>43</v>
      </c>
      <c r="G4" s="177" t="s">
        <v>58</v>
      </c>
      <c r="H4" s="178">
        <f>COUNTIF(F4:F478,"Select from Drop Down")</f>
        <v>8</v>
      </c>
      <c r="I4" s="179">
        <f>VLOOKUP($D4,SpecData,2,FALSE)</f>
        <v>1</v>
      </c>
      <c r="J4" s="180">
        <f>VLOOKUP($F4,AvailabilityData,2,FALSE)</f>
        <v>0</v>
      </c>
      <c r="K4" s="181">
        <f>I4*J4</f>
        <v>0</v>
      </c>
      <c r="L4" s="47"/>
    </row>
    <row r="5" spans="2:12" ht="30" customHeight="1" x14ac:dyDescent="0.3">
      <c r="B5" s="48" t="str">
        <f>IF(C5="","",$B$4)</f>
        <v>IAlm</v>
      </c>
      <c r="C5" s="2">
        <f>IF(ISTEXT(D5),MAX($C$4:$C4)+1,"")</f>
        <v>2</v>
      </c>
      <c r="D5" s="159" t="s">
        <v>11</v>
      </c>
      <c r="E5" s="55" t="s">
        <v>124</v>
      </c>
      <c r="F5" s="182" t="s">
        <v>43</v>
      </c>
      <c r="G5" s="177" t="s">
        <v>60</v>
      </c>
      <c r="H5" s="178">
        <f>COUNTIF(F4:F478,"Function Available")</f>
        <v>0</v>
      </c>
      <c r="I5" s="179">
        <f>VLOOKUP($D5,SpecData,2,FALSE)</f>
        <v>1</v>
      </c>
      <c r="J5" s="180">
        <f>VLOOKUP($F5,AvailabilityData,2,FALSE)</f>
        <v>0</v>
      </c>
      <c r="K5" s="181">
        <f t="shared" ref="K5:K11" si="1">I5*J5</f>
        <v>0</v>
      </c>
      <c r="L5" s="47"/>
    </row>
    <row r="6" spans="2:12" ht="30" customHeight="1" x14ac:dyDescent="0.3">
      <c r="B6" s="48" t="str">
        <f>IF(C6="","",$B$4)</f>
        <v>IAlm</v>
      </c>
      <c r="C6" s="2">
        <f>IF(ISTEXT(D6),MAX($C$4:$C5)+1,"")</f>
        <v>3</v>
      </c>
      <c r="D6" s="159" t="s">
        <v>11</v>
      </c>
      <c r="E6" s="55" t="s">
        <v>125</v>
      </c>
      <c r="F6" s="183" t="s">
        <v>43</v>
      </c>
      <c r="G6" s="177" t="s">
        <v>62</v>
      </c>
      <c r="H6" s="184">
        <f>COUNTIF(F4:F478,"Function Not Available")</f>
        <v>0</v>
      </c>
      <c r="I6" s="179">
        <f t="shared" ref="I6:I11" si="2">VLOOKUP($D6,SpecData,2,FALSE)</f>
        <v>1</v>
      </c>
      <c r="J6" s="180">
        <f t="shared" ref="J6:J11" si="3">VLOOKUP($F6,AvailabilityData,2,FALSE)</f>
        <v>0</v>
      </c>
      <c r="K6" s="181">
        <f t="shared" si="1"/>
        <v>0</v>
      </c>
      <c r="L6" s="47"/>
    </row>
    <row r="7" spans="2:12" ht="30" customHeight="1" x14ac:dyDescent="0.3">
      <c r="B7" s="48" t="str">
        <f t="shared" ref="B7:B11" si="4">IF(C7="","",$B$4)</f>
        <v>IAlm</v>
      </c>
      <c r="C7" s="2">
        <f>IF(ISTEXT(D7),MAX($C$4:$C6)+1,"")</f>
        <v>4</v>
      </c>
      <c r="D7" s="159" t="s">
        <v>11</v>
      </c>
      <c r="E7" s="55" t="s">
        <v>126</v>
      </c>
      <c r="F7" s="182" t="s">
        <v>43</v>
      </c>
      <c r="G7" s="177" t="s">
        <v>64</v>
      </c>
      <c r="H7" s="184">
        <f>COUNTIF(F4:F478,"Exception")</f>
        <v>0</v>
      </c>
      <c r="I7" s="179">
        <f t="shared" si="2"/>
        <v>1</v>
      </c>
      <c r="J7" s="180">
        <f t="shared" si="3"/>
        <v>0</v>
      </c>
      <c r="K7" s="181">
        <f t="shared" si="1"/>
        <v>0</v>
      </c>
      <c r="L7" s="47"/>
    </row>
    <row r="8" spans="2:12" ht="30" customHeight="1" x14ac:dyDescent="0.3">
      <c r="B8" s="48" t="str">
        <f t="shared" si="4"/>
        <v>IAlm</v>
      </c>
      <c r="C8" s="2">
        <f>IF(ISTEXT(D8),MAX($C$4:$C7)+1,"")</f>
        <v>5</v>
      </c>
      <c r="D8" s="159" t="s">
        <v>11</v>
      </c>
      <c r="E8" s="55" t="s">
        <v>127</v>
      </c>
      <c r="F8" s="182" t="s">
        <v>43</v>
      </c>
      <c r="G8" s="177" t="s">
        <v>66</v>
      </c>
      <c r="H8" s="185">
        <f>COUNTIFS(D:D,"=Crucial",F:F,"=Select From Drop Down")</f>
        <v>0</v>
      </c>
      <c r="I8" s="179">
        <f t="shared" si="2"/>
        <v>1</v>
      </c>
      <c r="J8" s="180">
        <f t="shared" si="3"/>
        <v>0</v>
      </c>
      <c r="K8" s="181">
        <f t="shared" si="1"/>
        <v>0</v>
      </c>
      <c r="L8" s="47"/>
    </row>
    <row r="9" spans="2:12" ht="30" customHeight="1" x14ac:dyDescent="0.3">
      <c r="B9" s="48" t="str">
        <f t="shared" si="4"/>
        <v>IAlm</v>
      </c>
      <c r="C9" s="2">
        <f>IF(ISTEXT(D9),MAX($C$4:$C8)+1,"")</f>
        <v>6</v>
      </c>
      <c r="D9" s="159" t="s">
        <v>11</v>
      </c>
      <c r="E9" s="55" t="s">
        <v>128</v>
      </c>
      <c r="F9" s="182" t="s">
        <v>43</v>
      </c>
      <c r="G9" s="177" t="s">
        <v>68</v>
      </c>
      <c r="H9" s="185">
        <f>COUNTIFS(D:D,"=Crucial",F:F,"=Function Available")</f>
        <v>0</v>
      </c>
      <c r="I9" s="179">
        <f t="shared" si="2"/>
        <v>1</v>
      </c>
      <c r="J9" s="180">
        <f t="shared" si="3"/>
        <v>0</v>
      </c>
      <c r="K9" s="181">
        <f t="shared" si="1"/>
        <v>0</v>
      </c>
      <c r="L9" s="47"/>
    </row>
    <row r="10" spans="2:12" ht="30" customHeight="1" x14ac:dyDescent="0.3">
      <c r="B10" s="48" t="str">
        <f t="shared" si="4"/>
        <v>IAlm</v>
      </c>
      <c r="C10" s="2">
        <f>IF(ISTEXT(D10),MAX($C$4:$C9)+1,"")</f>
        <v>7</v>
      </c>
      <c r="D10" s="159" t="s">
        <v>11</v>
      </c>
      <c r="E10" s="55" t="s">
        <v>129</v>
      </c>
      <c r="F10" s="182" t="s">
        <v>43</v>
      </c>
      <c r="G10" s="177" t="s">
        <v>70</v>
      </c>
      <c r="H10" s="185">
        <f>COUNTIFS(D:D,"=Crucial",F:F,"=Function Not Available")</f>
        <v>0</v>
      </c>
      <c r="I10" s="179">
        <f t="shared" si="2"/>
        <v>1</v>
      </c>
      <c r="J10" s="180">
        <f t="shared" si="3"/>
        <v>0</v>
      </c>
      <c r="K10" s="181">
        <f t="shared" si="1"/>
        <v>0</v>
      </c>
      <c r="L10" s="47"/>
    </row>
    <row r="11" spans="2:12" ht="30" customHeight="1" thickBot="1" x14ac:dyDescent="0.35">
      <c r="B11" s="52" t="str">
        <f t="shared" si="4"/>
        <v>IAlm</v>
      </c>
      <c r="C11" s="53">
        <f>IF(ISTEXT(D11),MAX($C$4:$C10)+1,"")</f>
        <v>8</v>
      </c>
      <c r="D11" s="168" t="s">
        <v>11</v>
      </c>
      <c r="E11" s="169" t="s">
        <v>130</v>
      </c>
      <c r="F11" s="194" t="s">
        <v>43</v>
      </c>
      <c r="G11" s="201" t="s">
        <v>72</v>
      </c>
      <c r="H11" s="202">
        <f>COUNTIFS(D:D,"=Crucial",F:F,"=Exception")</f>
        <v>0</v>
      </c>
      <c r="I11" s="197">
        <f t="shared" si="2"/>
        <v>1</v>
      </c>
      <c r="J11" s="198">
        <f t="shared" si="3"/>
        <v>0</v>
      </c>
      <c r="K11" s="199">
        <f t="shared" si="1"/>
        <v>0</v>
      </c>
      <c r="L11" s="54"/>
    </row>
    <row r="12" spans="2:12" ht="30" hidden="1" customHeight="1" x14ac:dyDescent="0.3">
      <c r="B12" s="170"/>
      <c r="C12" s="61"/>
      <c r="D12" s="171"/>
      <c r="E12" s="200"/>
      <c r="F12" s="121"/>
      <c r="G12" s="34" t="s">
        <v>74</v>
      </c>
      <c r="H12" s="122">
        <f>COUNTIFS(D:D,"=Important",F:F,"=Select From Drop Down")</f>
        <v>0</v>
      </c>
      <c r="I12" s="123"/>
      <c r="J12" s="124"/>
      <c r="K12" s="123"/>
      <c r="L12" s="173"/>
    </row>
    <row r="13" spans="2:12" ht="30" hidden="1" customHeight="1" x14ac:dyDescent="0.3">
      <c r="B13" s="170"/>
      <c r="C13" s="61"/>
      <c r="D13" s="171"/>
      <c r="E13" s="174"/>
      <c r="F13" s="125"/>
      <c r="G13" s="34" t="s">
        <v>76</v>
      </c>
      <c r="H13" s="122">
        <f>COUNTIFS(D:D,"=Important",F:F,"=Function Available")</f>
        <v>0</v>
      </c>
      <c r="I13" s="127"/>
      <c r="J13" s="128"/>
      <c r="K13" s="127"/>
      <c r="L13" s="161"/>
    </row>
    <row r="14" spans="2:12" ht="45.75" hidden="1" customHeight="1" x14ac:dyDescent="0.3">
      <c r="B14" s="170"/>
      <c r="C14" s="61"/>
      <c r="D14" s="171"/>
      <c r="E14" s="174"/>
      <c r="F14" s="125"/>
      <c r="G14" s="29" t="s">
        <v>78</v>
      </c>
      <c r="H14" s="126">
        <f>COUNTIFS(D:D,"=Important",F:F,"=Function Not Available")</f>
        <v>0</v>
      </c>
      <c r="I14" s="127"/>
      <c r="J14" s="128"/>
      <c r="K14" s="127"/>
      <c r="L14" s="161"/>
    </row>
    <row r="15" spans="2:12" ht="30" hidden="1" customHeight="1" x14ac:dyDescent="0.3">
      <c r="B15" s="170"/>
      <c r="C15" s="61"/>
      <c r="D15" s="171"/>
      <c r="E15" s="174"/>
      <c r="F15" s="125"/>
      <c r="G15" s="29" t="s">
        <v>80</v>
      </c>
      <c r="H15" s="126">
        <f>COUNTIFS(D:D,"=Important",F:F,"=Exception")</f>
        <v>0</v>
      </c>
      <c r="I15" s="127"/>
      <c r="J15" s="128"/>
      <c r="K15" s="127"/>
      <c r="L15" s="161"/>
    </row>
    <row r="16" spans="2:12" ht="30" hidden="1" customHeight="1" x14ac:dyDescent="0.3">
      <c r="B16" s="170"/>
      <c r="C16" s="61"/>
      <c r="D16" s="171"/>
      <c r="E16" s="62"/>
      <c r="F16" s="175"/>
      <c r="G16" s="29" t="s">
        <v>82</v>
      </c>
      <c r="H16" s="126">
        <f>COUNTIFS(D:D,"=Minimal",F:F,"=Select From Drop Down")</f>
        <v>8</v>
      </c>
      <c r="I16" s="127"/>
      <c r="J16" s="128"/>
      <c r="K16" s="127"/>
      <c r="L16" s="161"/>
    </row>
    <row r="17" spans="2:12" ht="30" hidden="1" customHeight="1" x14ac:dyDescent="0.3">
      <c r="B17" s="170"/>
      <c r="C17" s="61"/>
      <c r="D17" s="171"/>
      <c r="E17" s="62"/>
      <c r="F17" s="125"/>
      <c r="G17" s="29" t="s">
        <v>84</v>
      </c>
      <c r="H17" s="126">
        <f>COUNTIFS(D:D,"=Minimal",F:F,"=Function Available")</f>
        <v>0</v>
      </c>
      <c r="I17" s="127"/>
      <c r="J17" s="128"/>
      <c r="K17" s="127"/>
      <c r="L17" s="161"/>
    </row>
    <row r="18" spans="2:12" ht="30" hidden="1" customHeight="1" x14ac:dyDescent="0.3">
      <c r="B18" s="170"/>
      <c r="C18" s="61"/>
      <c r="D18" s="171"/>
      <c r="E18" s="62"/>
      <c r="F18" s="125"/>
      <c r="G18" s="29" t="s">
        <v>86</v>
      </c>
      <c r="H18" s="126">
        <f>COUNTIFS(D:D,"=Minimal",F:F,"=Function Not Available")</f>
        <v>0</v>
      </c>
      <c r="I18" s="127"/>
      <c r="J18" s="128"/>
      <c r="K18" s="127"/>
      <c r="L18" s="161"/>
    </row>
    <row r="19" spans="2:12" ht="30" hidden="1" customHeight="1" x14ac:dyDescent="0.3">
      <c r="B19" s="170"/>
      <c r="C19" s="61"/>
      <c r="D19" s="171"/>
      <c r="E19" s="62"/>
      <c r="F19" s="125"/>
      <c r="G19" s="29" t="s">
        <v>88</v>
      </c>
      <c r="H19" s="126">
        <f>COUNTIFS(D:D,"=Minimal",F:F,"=Exception")</f>
        <v>0</v>
      </c>
      <c r="I19" s="127"/>
      <c r="J19" s="128"/>
      <c r="K19" s="127"/>
      <c r="L19" s="161"/>
    </row>
    <row r="20" spans="2:12" ht="7.5" customHeight="1" x14ac:dyDescent="0.3"/>
  </sheetData>
  <sheetProtection algorithmName="SHA-512" hashValue="TEeHPZGC2Fc2pZMZNtTKtf1Tr9D88qJxpjGYV8xCEFIbqUFmtKpJs88IET7xhNxRXVBJQDbNKcSKDOd9usKGtg==" saltValue="365mHk6tVXTAomrcgUfFWQ==" spinCount="100000" sheet="1" selectLockedCells="1"/>
  <conditionalFormatting sqref="D4:D19">
    <cfRule type="cellIs" dxfId="332" priority="4" operator="equal">
      <formula>"Important"</formula>
    </cfRule>
    <cfRule type="cellIs" dxfId="331" priority="5" operator="equal">
      <formula>"Crucial"</formula>
    </cfRule>
    <cfRule type="cellIs" dxfId="330" priority="6" operator="equal">
      <formula>"N/A"</formula>
    </cfRule>
  </conditionalFormatting>
  <conditionalFormatting sqref="F4:F19">
    <cfRule type="cellIs" dxfId="329" priority="1" operator="equal">
      <formula>"Function Not Available"</formula>
    </cfRule>
    <cfRule type="cellIs" dxfId="328" priority="2" operator="equal">
      <formula>"Function Available"</formula>
    </cfRule>
    <cfRule type="cellIs" dxfId="327"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11" xr:uid="{00000000-0002-0000-0400-000000000000}">
      <formula1>AvailabilityType</formula1>
    </dataValidation>
    <dataValidation type="list" allowBlank="1" showInputMessage="1" showErrorMessage="1" sqref="D4:D11" xr:uid="{00000000-0002-0000-0400-000001000000}">
      <formula1>SpecType</formula1>
    </dataValidation>
    <dataValidation type="list" allowBlank="1" showInputMessage="1" showErrorMessage="1" sqref="F4:F5" xr:uid="{00000000-0002-0000-04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C00"/>
  </sheetPr>
  <dimension ref="A1:M72"/>
  <sheetViews>
    <sheetView showGridLines="0" zoomScale="90" zoomScaleNormal="9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70.332031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5.7" customHeight="1" x14ac:dyDescent="0.3"/>
    <row r="2" spans="2:12" s="158" customFormat="1" ht="129" customHeight="1" thickBot="1" x14ac:dyDescent="0.3">
      <c r="B2" s="96" t="s">
        <v>44</v>
      </c>
      <c r="C2" s="97" t="s">
        <v>45</v>
      </c>
      <c r="D2" s="97" t="s">
        <v>46</v>
      </c>
      <c r="E2" s="97" t="s">
        <v>131</v>
      </c>
      <c r="F2" s="97" t="s">
        <v>42</v>
      </c>
      <c r="G2" s="98" t="s">
        <v>48</v>
      </c>
      <c r="H2" s="98" t="s">
        <v>49</v>
      </c>
      <c r="I2" s="99" t="s">
        <v>50</v>
      </c>
      <c r="J2" s="99" t="s">
        <v>51</v>
      </c>
      <c r="K2" s="100" t="s">
        <v>14</v>
      </c>
      <c r="L2" s="101" t="s">
        <v>52</v>
      </c>
    </row>
    <row r="3" spans="2:12" ht="15.6" customHeight="1" thickBot="1" x14ac:dyDescent="0.35">
      <c r="B3" s="8" t="s">
        <v>132</v>
      </c>
      <c r="C3" s="8"/>
      <c r="D3" s="8"/>
      <c r="E3" s="8"/>
      <c r="F3" s="8"/>
      <c r="G3" s="34" t="s">
        <v>54</v>
      </c>
      <c r="H3" s="7">
        <f>COUNTA(D4:D530)</f>
        <v>46</v>
      </c>
      <c r="I3" s="24"/>
      <c r="J3" s="25" t="s">
        <v>55</v>
      </c>
      <c r="K3" s="26">
        <f>SUM(K4:K530)</f>
        <v>0</v>
      </c>
      <c r="L3" s="8"/>
    </row>
    <row r="4" spans="2:12" ht="30" customHeight="1" x14ac:dyDescent="0.3">
      <c r="B4" s="37" t="s">
        <v>133</v>
      </c>
      <c r="C4" s="2">
        <v>1</v>
      </c>
      <c r="D4" s="159" t="s">
        <v>9</v>
      </c>
      <c r="E4" s="163" t="s">
        <v>1233</v>
      </c>
      <c r="F4" s="176" t="s">
        <v>43</v>
      </c>
      <c r="G4" s="177" t="s">
        <v>58</v>
      </c>
      <c r="H4" s="178">
        <f>COUNTIF(F4:F530,"Select from Drop Down")</f>
        <v>46</v>
      </c>
      <c r="I4" s="179">
        <f>VLOOKUP($D4,SpecData,2,FALSE)</f>
        <v>3</v>
      </c>
      <c r="J4" s="180">
        <f>VLOOKUP($F4,AvailabilityData,2,FALSE)</f>
        <v>0</v>
      </c>
      <c r="K4" s="181">
        <f>I4*J4</f>
        <v>0</v>
      </c>
      <c r="L4" s="38"/>
    </row>
    <row r="5" spans="2:12" ht="30" customHeight="1" x14ac:dyDescent="0.3">
      <c r="B5" s="40"/>
      <c r="C5" s="1" t="str">
        <f>IF(ISTEXT(D5),MAX($C4:$C$7)+1,"")</f>
        <v/>
      </c>
      <c r="D5" s="3"/>
      <c r="E5" s="203" t="s">
        <v>134</v>
      </c>
      <c r="F5" s="115"/>
      <c r="G5" s="31"/>
      <c r="H5" s="31"/>
      <c r="I5" s="31"/>
      <c r="J5" s="31"/>
      <c r="K5" s="31"/>
      <c r="L5" s="31"/>
    </row>
    <row r="6" spans="2:12" ht="30" customHeight="1" x14ac:dyDescent="0.3">
      <c r="B6" s="37" t="str">
        <f>IF(C6="","",$B$4)</f>
        <v>ITone</v>
      </c>
      <c r="C6" s="2">
        <v>2</v>
      </c>
      <c r="D6" s="159" t="s">
        <v>9</v>
      </c>
      <c r="E6" s="204" t="s">
        <v>135</v>
      </c>
      <c r="F6" s="176" t="s">
        <v>43</v>
      </c>
      <c r="G6" s="177" t="s">
        <v>60</v>
      </c>
      <c r="H6" s="178">
        <f>COUNTIF(F4:F530,"Function Available")</f>
        <v>0</v>
      </c>
      <c r="I6" s="179">
        <f>VLOOKUP($D6,SpecData,2,FALSE)</f>
        <v>3</v>
      </c>
      <c r="J6" s="180">
        <f>VLOOKUP($F6,AvailabilityData,2,FALSE)</f>
        <v>0</v>
      </c>
      <c r="K6" s="181">
        <f>I6*J6</f>
        <v>0</v>
      </c>
      <c r="L6" s="38"/>
    </row>
    <row r="7" spans="2:12" ht="30" customHeight="1" x14ac:dyDescent="0.3">
      <c r="B7" s="37" t="str">
        <f t="shared" ref="B7:B52" si="0">IF(C7="","",$B$4)</f>
        <v>ITone</v>
      </c>
      <c r="C7" s="2">
        <f>IF(ISTEXT(D7),MAX($C$6:$C6)+1,"")</f>
        <v>3</v>
      </c>
      <c r="D7" s="159" t="s">
        <v>9</v>
      </c>
      <c r="E7" s="205" t="s">
        <v>136</v>
      </c>
      <c r="F7" s="176" t="s">
        <v>43</v>
      </c>
      <c r="G7" s="177" t="s">
        <v>62</v>
      </c>
      <c r="H7" s="184">
        <f>COUNTIF(F4:F530,"Function Not Available")</f>
        <v>0</v>
      </c>
      <c r="I7" s="179">
        <f t="shared" ref="I7:I14" si="1">VLOOKUP($D7,SpecData,2,FALSE)</f>
        <v>3</v>
      </c>
      <c r="J7" s="180">
        <f t="shared" ref="J7:J14" si="2">VLOOKUP($F7,AvailabilityData,2,FALSE)</f>
        <v>0</v>
      </c>
      <c r="K7" s="220">
        <f t="shared" ref="K7:K14" si="3">I7*J7</f>
        <v>0</v>
      </c>
      <c r="L7" s="38"/>
    </row>
    <row r="8" spans="2:12" ht="30" customHeight="1" x14ac:dyDescent="0.3">
      <c r="B8" s="37" t="str">
        <f t="shared" si="0"/>
        <v>ITone</v>
      </c>
      <c r="C8" s="2">
        <f>IF(ISTEXT(D8),MAX($C$6:$C7)+1,"")</f>
        <v>4</v>
      </c>
      <c r="D8" s="159" t="s">
        <v>9</v>
      </c>
      <c r="E8" s="205" t="s">
        <v>137</v>
      </c>
      <c r="F8" s="176" t="s">
        <v>43</v>
      </c>
      <c r="G8" s="177" t="s">
        <v>64</v>
      </c>
      <c r="H8" s="184">
        <f>COUNTIF(F4:F530,"Exception")</f>
        <v>0</v>
      </c>
      <c r="I8" s="179">
        <f t="shared" si="1"/>
        <v>3</v>
      </c>
      <c r="J8" s="180">
        <f t="shared" si="2"/>
        <v>0</v>
      </c>
      <c r="K8" s="181">
        <f t="shared" si="3"/>
        <v>0</v>
      </c>
      <c r="L8" s="38"/>
    </row>
    <row r="9" spans="2:12" ht="30" customHeight="1" x14ac:dyDescent="0.3">
      <c r="B9" s="37" t="str">
        <f t="shared" si="0"/>
        <v>ITone</v>
      </c>
      <c r="C9" s="2">
        <f>IF(ISTEXT(D9),MAX($C$6:$C8)+1,"")</f>
        <v>5</v>
      </c>
      <c r="D9" s="159" t="s">
        <v>9</v>
      </c>
      <c r="E9" s="205" t="s">
        <v>138</v>
      </c>
      <c r="F9" s="176" t="s">
        <v>43</v>
      </c>
      <c r="G9" s="177" t="s">
        <v>66</v>
      </c>
      <c r="H9" s="185">
        <f>COUNTIFS(D:D,"=Crucial",F:F,"=Select From Drop Down")</f>
        <v>42</v>
      </c>
      <c r="I9" s="179">
        <f t="shared" si="1"/>
        <v>3</v>
      </c>
      <c r="J9" s="180">
        <f t="shared" si="2"/>
        <v>0</v>
      </c>
      <c r="K9" s="220">
        <f t="shared" si="3"/>
        <v>0</v>
      </c>
      <c r="L9" s="38"/>
    </row>
    <row r="10" spans="2:12" ht="42" customHeight="1" x14ac:dyDescent="0.3">
      <c r="B10" s="37" t="str">
        <f t="shared" si="0"/>
        <v>ITone</v>
      </c>
      <c r="C10" s="2">
        <f>IF(ISTEXT(D10),MAX($C$6:$C9)+1,"")</f>
        <v>6</v>
      </c>
      <c r="D10" s="159" t="s">
        <v>9</v>
      </c>
      <c r="E10" s="163" t="s">
        <v>139</v>
      </c>
      <c r="F10" s="176" t="s">
        <v>43</v>
      </c>
      <c r="G10" s="177" t="s">
        <v>68</v>
      </c>
      <c r="H10" s="185">
        <f>COUNTIFS(D:D,"=Crucial",F:F,"=Function Available")</f>
        <v>0</v>
      </c>
      <c r="I10" s="179">
        <f t="shared" si="1"/>
        <v>3</v>
      </c>
      <c r="J10" s="180">
        <f t="shared" si="2"/>
        <v>0</v>
      </c>
      <c r="K10" s="220">
        <f t="shared" si="3"/>
        <v>0</v>
      </c>
      <c r="L10" s="38"/>
    </row>
    <row r="11" spans="2:12" ht="30" customHeight="1" x14ac:dyDescent="0.3">
      <c r="B11" s="37" t="str">
        <f t="shared" si="0"/>
        <v>ITone</v>
      </c>
      <c r="C11" s="2">
        <f>IF(ISTEXT(D11),MAX($C$6:$C10)+1,"")</f>
        <v>7</v>
      </c>
      <c r="D11" s="159" t="s">
        <v>9</v>
      </c>
      <c r="E11" s="163" t="s">
        <v>140</v>
      </c>
      <c r="F11" s="176" t="s">
        <v>43</v>
      </c>
      <c r="G11" s="177" t="s">
        <v>70</v>
      </c>
      <c r="H11" s="185">
        <f>COUNTIFS(D:D,"=Crucial",F:F,"=Function Not Available")</f>
        <v>0</v>
      </c>
      <c r="I11" s="179">
        <f t="shared" si="1"/>
        <v>3</v>
      </c>
      <c r="J11" s="180">
        <f t="shared" si="2"/>
        <v>0</v>
      </c>
      <c r="K11" s="220">
        <f t="shared" si="3"/>
        <v>0</v>
      </c>
      <c r="L11" s="38"/>
    </row>
    <row r="12" spans="2:12" ht="47.25" customHeight="1" x14ac:dyDescent="0.3">
      <c r="B12" s="37" t="str">
        <f t="shared" si="0"/>
        <v>ITone</v>
      </c>
      <c r="C12" s="2">
        <f>IF(ISTEXT(D12),MAX($C$6:$C11)+1,"")</f>
        <v>8</v>
      </c>
      <c r="D12" s="159" t="s">
        <v>9</v>
      </c>
      <c r="E12" s="163" t="s">
        <v>141</v>
      </c>
      <c r="F12" s="176" t="s">
        <v>43</v>
      </c>
      <c r="G12" s="192" t="s">
        <v>72</v>
      </c>
      <c r="H12" s="221">
        <f>COUNTIFS(D:D,"=Crucial",F:F,"=Exception")</f>
        <v>0</v>
      </c>
      <c r="I12" s="222">
        <f t="shared" si="1"/>
        <v>3</v>
      </c>
      <c r="J12" s="223">
        <f t="shared" si="2"/>
        <v>0</v>
      </c>
      <c r="K12" s="224">
        <f t="shared" si="3"/>
        <v>0</v>
      </c>
      <c r="L12" s="41"/>
    </row>
    <row r="13" spans="2:12" ht="41.25" customHeight="1" x14ac:dyDescent="0.3">
      <c r="B13" s="37" t="str">
        <f t="shared" si="0"/>
        <v>ITone</v>
      </c>
      <c r="C13" s="2">
        <f>IF(ISTEXT(D13),MAX($C$6:$C12)+1,"")</f>
        <v>9</v>
      </c>
      <c r="D13" s="159" t="s">
        <v>9</v>
      </c>
      <c r="E13" s="163" t="s">
        <v>142</v>
      </c>
      <c r="F13" s="176" t="s">
        <v>43</v>
      </c>
      <c r="G13" s="177" t="s">
        <v>74</v>
      </c>
      <c r="H13" s="185">
        <f>COUNTIFS(D:D,"=Important",F:F,"=Select From Drop Down")</f>
        <v>4</v>
      </c>
      <c r="I13" s="188">
        <f t="shared" si="1"/>
        <v>3</v>
      </c>
      <c r="J13" s="189">
        <f t="shared" si="2"/>
        <v>0</v>
      </c>
      <c r="K13" s="220">
        <f t="shared" si="3"/>
        <v>0</v>
      </c>
      <c r="L13" s="42"/>
    </row>
    <row r="14" spans="2:12" ht="42" customHeight="1" x14ac:dyDescent="0.3">
      <c r="B14" s="37" t="str">
        <f t="shared" si="0"/>
        <v>ITone</v>
      </c>
      <c r="C14" s="2">
        <f>IF(ISTEXT(D14),MAX($C$6:$C13)+1,"")</f>
        <v>10</v>
      </c>
      <c r="D14" s="159" t="s">
        <v>9</v>
      </c>
      <c r="E14" s="163" t="s">
        <v>143</v>
      </c>
      <c r="F14" s="176" t="s">
        <v>43</v>
      </c>
      <c r="G14" s="177" t="s">
        <v>76</v>
      </c>
      <c r="H14" s="185">
        <f>COUNTIFS(D:D,"=Important",F:F,"=Function Available")</f>
        <v>0</v>
      </c>
      <c r="I14" s="188">
        <f t="shared" si="1"/>
        <v>3</v>
      </c>
      <c r="J14" s="189">
        <f t="shared" si="2"/>
        <v>0</v>
      </c>
      <c r="K14" s="220">
        <f t="shared" si="3"/>
        <v>0</v>
      </c>
      <c r="L14" s="43"/>
    </row>
    <row r="15" spans="2:12" ht="30" customHeight="1" x14ac:dyDescent="0.3">
      <c r="B15" s="37" t="str">
        <f t="shared" si="0"/>
        <v>ITone</v>
      </c>
      <c r="C15" s="2">
        <f>IF(ISTEXT(D15),MAX($C$6:$C14)+1,"")</f>
        <v>11</v>
      </c>
      <c r="D15" s="159" t="s">
        <v>9</v>
      </c>
      <c r="E15" s="163" t="s">
        <v>144</v>
      </c>
      <c r="F15" s="176" t="s">
        <v>43</v>
      </c>
      <c r="G15" s="177" t="s">
        <v>78</v>
      </c>
      <c r="H15" s="187">
        <f>COUNTIFS(D:D,"=Important",F:F,"=Function Not Available")</f>
        <v>0</v>
      </c>
      <c r="I15" s="179">
        <f t="shared" ref="I15:I52" si="4">VLOOKUP($D15,SpecData,2,FALSE)</f>
        <v>3</v>
      </c>
      <c r="J15" s="180">
        <f t="shared" ref="J15:J52" si="5">VLOOKUP($F15,AvailabilityData,2,FALSE)</f>
        <v>0</v>
      </c>
      <c r="K15" s="181">
        <f t="shared" ref="K15:K52" si="6">I15*J15</f>
        <v>0</v>
      </c>
      <c r="L15" s="44"/>
    </row>
    <row r="16" spans="2:12" ht="30" customHeight="1" x14ac:dyDescent="0.3">
      <c r="B16" s="37" t="str">
        <f t="shared" si="0"/>
        <v>ITone</v>
      </c>
      <c r="C16" s="2">
        <f>IF(ISTEXT(D16),MAX($C$6:$C15)+1,"")</f>
        <v>12</v>
      </c>
      <c r="D16" s="159" t="s">
        <v>9</v>
      </c>
      <c r="E16" s="162" t="s">
        <v>145</v>
      </c>
      <c r="F16" s="176" t="s">
        <v>43</v>
      </c>
      <c r="G16" s="177" t="s">
        <v>80</v>
      </c>
      <c r="H16" s="185">
        <f>COUNTIFS(D:D,"=Important",F:F,"=Exception")</f>
        <v>0</v>
      </c>
      <c r="I16" s="188">
        <f t="shared" si="4"/>
        <v>3</v>
      </c>
      <c r="J16" s="189">
        <f t="shared" si="5"/>
        <v>0</v>
      </c>
      <c r="K16" s="220">
        <f t="shared" si="6"/>
        <v>0</v>
      </c>
      <c r="L16" s="38"/>
    </row>
    <row r="17" spans="2:12" ht="55.95" customHeight="1" x14ac:dyDescent="0.3">
      <c r="B17" s="37" t="str">
        <f t="shared" si="0"/>
        <v>ITone</v>
      </c>
      <c r="C17" s="2">
        <f>IF(ISTEXT(D17),MAX($C$6:$C16)+1,"")</f>
        <v>13</v>
      </c>
      <c r="D17" s="159" t="s">
        <v>9</v>
      </c>
      <c r="E17" s="162" t="s">
        <v>146</v>
      </c>
      <c r="F17" s="176" t="s">
        <v>43</v>
      </c>
      <c r="G17" s="177" t="s">
        <v>82</v>
      </c>
      <c r="H17" s="185">
        <f>COUNTIFS(D:D,"=Minimal",F:F,"=Select From Drop Down")</f>
        <v>0</v>
      </c>
      <c r="I17" s="188">
        <f t="shared" si="4"/>
        <v>3</v>
      </c>
      <c r="J17" s="189">
        <f t="shared" si="5"/>
        <v>0</v>
      </c>
      <c r="K17" s="220">
        <f t="shared" si="6"/>
        <v>0</v>
      </c>
      <c r="L17" s="38"/>
    </row>
    <row r="18" spans="2:12" ht="45" customHeight="1" x14ac:dyDescent="0.3">
      <c r="B18" s="37" t="str">
        <f t="shared" si="0"/>
        <v>ITone</v>
      </c>
      <c r="C18" s="2">
        <f>IF(ISTEXT(D18),MAX($C$6:$C17)+1,"")</f>
        <v>14</v>
      </c>
      <c r="D18" s="159" t="s">
        <v>9</v>
      </c>
      <c r="E18" s="163" t="s">
        <v>147</v>
      </c>
      <c r="F18" s="176" t="s">
        <v>43</v>
      </c>
      <c r="G18" s="177" t="s">
        <v>84</v>
      </c>
      <c r="H18" s="185">
        <f>COUNTIFS(D:D,"=Minimal",F:F,"=Function Available")</f>
        <v>0</v>
      </c>
      <c r="I18" s="188">
        <f t="shared" si="4"/>
        <v>3</v>
      </c>
      <c r="J18" s="189">
        <f t="shared" si="5"/>
        <v>0</v>
      </c>
      <c r="K18" s="220">
        <f t="shared" si="6"/>
        <v>0</v>
      </c>
      <c r="L18" s="38"/>
    </row>
    <row r="19" spans="2:12" ht="30" customHeight="1" x14ac:dyDescent="0.3">
      <c r="B19" s="37" t="str">
        <f t="shared" si="0"/>
        <v>ITone</v>
      </c>
      <c r="C19" s="2">
        <f>IF(ISTEXT(D19),MAX($C$6:$C18)+1,"")</f>
        <v>15</v>
      </c>
      <c r="D19" s="159" t="s">
        <v>9</v>
      </c>
      <c r="E19" s="163" t="s">
        <v>148</v>
      </c>
      <c r="F19" s="176" t="s">
        <v>43</v>
      </c>
      <c r="G19" s="177" t="s">
        <v>86</v>
      </c>
      <c r="H19" s="185">
        <f>COUNTIFS(D:D,"=Minimal",F:F,"=Function Not Available")</f>
        <v>0</v>
      </c>
      <c r="I19" s="188">
        <f t="shared" si="4"/>
        <v>3</v>
      </c>
      <c r="J19" s="189">
        <f t="shared" si="5"/>
        <v>0</v>
      </c>
      <c r="K19" s="220">
        <f t="shared" si="6"/>
        <v>0</v>
      </c>
      <c r="L19" s="38"/>
    </row>
    <row r="20" spans="2:12" ht="30" customHeight="1" x14ac:dyDescent="0.3">
      <c r="B20" s="37" t="str">
        <f t="shared" si="0"/>
        <v>ITone</v>
      </c>
      <c r="C20" s="2">
        <f>IF(ISTEXT(D20),MAX($C$6:$C19)+1,"")</f>
        <v>16</v>
      </c>
      <c r="D20" s="159" t="s">
        <v>9</v>
      </c>
      <c r="E20" s="163" t="s">
        <v>149</v>
      </c>
      <c r="F20" s="176" t="s">
        <v>43</v>
      </c>
      <c r="G20" s="177" t="s">
        <v>88</v>
      </c>
      <c r="H20" s="185">
        <f>COUNTIFS(D:D,"=Minimal",F:F,"=Exception")</f>
        <v>0</v>
      </c>
      <c r="I20" s="188">
        <f t="shared" si="4"/>
        <v>3</v>
      </c>
      <c r="J20" s="189">
        <f t="shared" si="5"/>
        <v>0</v>
      </c>
      <c r="K20" s="220">
        <f t="shared" si="6"/>
        <v>0</v>
      </c>
      <c r="L20" s="38"/>
    </row>
    <row r="21" spans="2:12" ht="30" customHeight="1" x14ac:dyDescent="0.3">
      <c r="B21" s="37" t="str">
        <f t="shared" si="0"/>
        <v>ITone</v>
      </c>
      <c r="C21" s="2">
        <f>IF(ISTEXT(D21),MAX($C$6:$C20)+1,"")</f>
        <v>17</v>
      </c>
      <c r="D21" s="159" t="s">
        <v>9</v>
      </c>
      <c r="E21" s="163" t="s">
        <v>150</v>
      </c>
      <c r="F21" s="176" t="s">
        <v>43</v>
      </c>
      <c r="G21" s="177"/>
      <c r="H21" s="185"/>
      <c r="I21" s="188">
        <f t="shared" si="4"/>
        <v>3</v>
      </c>
      <c r="J21" s="189">
        <f t="shared" si="5"/>
        <v>0</v>
      </c>
      <c r="K21" s="220">
        <f t="shared" si="6"/>
        <v>0</v>
      </c>
      <c r="L21" s="38"/>
    </row>
    <row r="22" spans="2:12" ht="42.75" customHeight="1" x14ac:dyDescent="0.3">
      <c r="B22" s="37" t="str">
        <f t="shared" si="0"/>
        <v>ITone</v>
      </c>
      <c r="C22" s="2">
        <f>IF(ISTEXT(D22),MAX($C$6:$C21)+1,"")</f>
        <v>18</v>
      </c>
      <c r="D22" s="159" t="s">
        <v>9</v>
      </c>
      <c r="E22" s="162" t="s">
        <v>151</v>
      </c>
      <c r="F22" s="176" t="s">
        <v>43</v>
      </c>
      <c r="G22" s="177"/>
      <c r="H22" s="184"/>
      <c r="I22" s="188">
        <f t="shared" si="4"/>
        <v>3</v>
      </c>
      <c r="J22" s="189">
        <f t="shared" si="5"/>
        <v>0</v>
      </c>
      <c r="K22" s="220">
        <f t="shared" si="6"/>
        <v>0</v>
      </c>
      <c r="L22" s="38"/>
    </row>
    <row r="23" spans="2:12" ht="30" customHeight="1" x14ac:dyDescent="0.3">
      <c r="B23" s="37" t="str">
        <f t="shared" si="0"/>
        <v>ITone</v>
      </c>
      <c r="C23" s="2">
        <f>IF(ISTEXT(D23),MAX($C$6:$C22)+1,"")</f>
        <v>19</v>
      </c>
      <c r="D23" s="159" t="s">
        <v>9</v>
      </c>
      <c r="E23" s="162" t="s">
        <v>152</v>
      </c>
      <c r="F23" s="176" t="s">
        <v>43</v>
      </c>
      <c r="G23" s="177"/>
      <c r="H23" s="184"/>
      <c r="I23" s="188">
        <f t="shared" si="4"/>
        <v>3</v>
      </c>
      <c r="J23" s="189">
        <f t="shared" si="5"/>
        <v>0</v>
      </c>
      <c r="K23" s="220">
        <f t="shared" si="6"/>
        <v>0</v>
      </c>
      <c r="L23" s="38"/>
    </row>
    <row r="24" spans="2:12" ht="30" customHeight="1" x14ac:dyDescent="0.3">
      <c r="B24" s="37" t="str">
        <f t="shared" si="0"/>
        <v>ITone</v>
      </c>
      <c r="C24" s="2">
        <f>IF(ISTEXT(D24),MAX($C$6:$C23)+1,"")</f>
        <v>20</v>
      </c>
      <c r="D24" s="159" t="s">
        <v>10</v>
      </c>
      <c r="E24" s="160" t="s">
        <v>153</v>
      </c>
      <c r="F24" s="225" t="s">
        <v>43</v>
      </c>
      <c r="G24" s="192"/>
      <c r="H24" s="193"/>
      <c r="I24" s="190">
        <f>VLOOKUP($D24,SpecData,2,FALSE)</f>
        <v>2</v>
      </c>
      <c r="J24" s="191">
        <f>VLOOKUP($F24,AvailabilityData,2,FALSE)</f>
        <v>0</v>
      </c>
      <c r="K24" s="224">
        <f>I24*J24</f>
        <v>0</v>
      </c>
      <c r="L24" s="38"/>
    </row>
    <row r="25" spans="2:12" ht="15.6" customHeight="1" x14ac:dyDescent="0.3">
      <c r="B25" s="208" t="s">
        <v>154</v>
      </c>
      <c r="C25" s="209"/>
      <c r="D25" s="209"/>
      <c r="E25" s="209"/>
      <c r="F25" s="115"/>
      <c r="G25" s="31"/>
      <c r="H25" s="31"/>
      <c r="I25" s="31"/>
      <c r="J25" s="31"/>
      <c r="K25" s="31"/>
      <c r="L25" s="31"/>
    </row>
    <row r="26" spans="2:12" ht="30" customHeight="1" x14ac:dyDescent="0.3">
      <c r="B26" s="37" t="str">
        <f t="shared" si="0"/>
        <v>ITone</v>
      </c>
      <c r="C26" s="2">
        <f>IF(ISTEXT(D26),MAX($C$6:$C24)+1,"")</f>
        <v>21</v>
      </c>
      <c r="D26" s="159" t="s">
        <v>9</v>
      </c>
      <c r="E26" s="160" t="s">
        <v>1237</v>
      </c>
      <c r="F26" s="225" t="s">
        <v>43</v>
      </c>
      <c r="G26" s="192"/>
      <c r="H26" s="193"/>
      <c r="I26" s="190">
        <f t="shared" ref="I26:I42" si="7">VLOOKUP($D26,SpecData,2,FALSE)</f>
        <v>3</v>
      </c>
      <c r="J26" s="191">
        <f t="shared" ref="J26:J42" si="8">VLOOKUP($F26,AvailabilityData,2,FALSE)</f>
        <v>0</v>
      </c>
      <c r="K26" s="224">
        <f t="shared" ref="K26:K30" si="9">I26*J26</f>
        <v>0</v>
      </c>
      <c r="L26" s="38"/>
    </row>
    <row r="27" spans="2:12" ht="30" customHeight="1" x14ac:dyDescent="0.3">
      <c r="B27" s="37" t="str">
        <f t="shared" si="0"/>
        <v>ITone</v>
      </c>
      <c r="C27" s="2">
        <f>IF(ISTEXT(D27),MAX($C$6:$C26)+1,"")</f>
        <v>22</v>
      </c>
      <c r="D27" s="210" t="s">
        <v>9</v>
      </c>
      <c r="E27" s="160" t="s">
        <v>1254</v>
      </c>
      <c r="F27" s="225" t="s">
        <v>43</v>
      </c>
      <c r="G27" s="192"/>
      <c r="H27" s="193"/>
      <c r="I27" s="190">
        <f>VLOOKUP($D27,SpecData,2,FALSE)</f>
        <v>3</v>
      </c>
      <c r="J27" s="191">
        <f>VLOOKUP($F27,AvailabilityData,2,FALSE)</f>
        <v>0</v>
      </c>
      <c r="K27" s="224">
        <f>I27*J27</f>
        <v>0</v>
      </c>
      <c r="L27" s="157"/>
    </row>
    <row r="28" spans="2:12" ht="30" customHeight="1" x14ac:dyDescent="0.3">
      <c r="B28" s="37" t="str">
        <f t="shared" si="0"/>
        <v>ITone</v>
      </c>
      <c r="C28" s="2">
        <f>IF(ISTEXT(D28),MAX($C$6:$C27)+1,"")</f>
        <v>23</v>
      </c>
      <c r="D28" s="159" t="s">
        <v>9</v>
      </c>
      <c r="E28" s="160" t="s">
        <v>155</v>
      </c>
      <c r="F28" s="225" t="s">
        <v>43</v>
      </c>
      <c r="G28" s="192"/>
      <c r="H28" s="193"/>
      <c r="I28" s="190">
        <f t="shared" si="7"/>
        <v>3</v>
      </c>
      <c r="J28" s="191">
        <f t="shared" si="8"/>
        <v>0</v>
      </c>
      <c r="K28" s="224">
        <f t="shared" si="9"/>
        <v>0</v>
      </c>
      <c r="L28" s="38"/>
    </row>
    <row r="29" spans="2:12" ht="30" customHeight="1" x14ac:dyDescent="0.3">
      <c r="B29" s="37" t="str">
        <f t="shared" si="0"/>
        <v>ITone</v>
      </c>
      <c r="C29" s="2">
        <f>IF(ISTEXT(D29),MAX($C$6:$C28)+1,"")</f>
        <v>24</v>
      </c>
      <c r="D29" s="159" t="s">
        <v>9</v>
      </c>
      <c r="E29" s="160" t="s">
        <v>156</v>
      </c>
      <c r="F29" s="225" t="s">
        <v>43</v>
      </c>
      <c r="G29" s="192"/>
      <c r="H29" s="193"/>
      <c r="I29" s="190">
        <f t="shared" si="7"/>
        <v>3</v>
      </c>
      <c r="J29" s="191">
        <f t="shared" si="8"/>
        <v>0</v>
      </c>
      <c r="K29" s="224">
        <f t="shared" si="9"/>
        <v>0</v>
      </c>
      <c r="L29" s="38"/>
    </row>
    <row r="30" spans="2:12" ht="30" customHeight="1" x14ac:dyDescent="0.3">
      <c r="B30" s="37" t="str">
        <f t="shared" si="0"/>
        <v>ITone</v>
      </c>
      <c r="C30" s="2">
        <f>IF(ISTEXT(D30),MAX($C$6:$C29)+1,"")</f>
        <v>25</v>
      </c>
      <c r="D30" s="159" t="s">
        <v>9</v>
      </c>
      <c r="E30" s="160" t="s">
        <v>157</v>
      </c>
      <c r="F30" s="225" t="s">
        <v>43</v>
      </c>
      <c r="G30" s="192"/>
      <c r="H30" s="193"/>
      <c r="I30" s="190">
        <f t="shared" si="7"/>
        <v>3</v>
      </c>
      <c r="J30" s="191">
        <f t="shared" si="8"/>
        <v>0</v>
      </c>
      <c r="K30" s="224">
        <f t="shared" si="9"/>
        <v>0</v>
      </c>
      <c r="L30" s="38"/>
    </row>
    <row r="31" spans="2:12" ht="30" customHeight="1" x14ac:dyDescent="0.3">
      <c r="B31" s="37" t="str">
        <f t="shared" si="0"/>
        <v>ITone</v>
      </c>
      <c r="C31" s="2">
        <f>IF(ISTEXT(D31),MAX($C$6:$C30)+1,"")</f>
        <v>26</v>
      </c>
      <c r="D31" s="159" t="s">
        <v>9</v>
      </c>
      <c r="E31" s="160" t="s">
        <v>158</v>
      </c>
      <c r="F31" s="225" t="s">
        <v>43</v>
      </c>
      <c r="G31" s="192"/>
      <c r="H31" s="193"/>
      <c r="I31" s="190">
        <f t="shared" si="7"/>
        <v>3</v>
      </c>
      <c r="J31" s="191">
        <f t="shared" si="8"/>
        <v>0</v>
      </c>
      <c r="K31" s="224">
        <f t="shared" ref="K31:K34" si="10">I31*J31</f>
        <v>0</v>
      </c>
      <c r="L31" s="38"/>
    </row>
    <row r="32" spans="2:12" ht="30" customHeight="1" x14ac:dyDescent="0.3">
      <c r="B32" s="37" t="str">
        <f t="shared" si="0"/>
        <v>ITone</v>
      </c>
      <c r="C32" s="2">
        <f>IF(ISTEXT(D32),MAX($C$6:$C31)+1,"")</f>
        <v>27</v>
      </c>
      <c r="D32" s="159" t="s">
        <v>10</v>
      </c>
      <c r="E32" s="160" t="s">
        <v>159</v>
      </c>
      <c r="F32" s="225" t="s">
        <v>43</v>
      </c>
      <c r="G32" s="192"/>
      <c r="H32" s="193"/>
      <c r="I32" s="190">
        <f t="shared" si="7"/>
        <v>2</v>
      </c>
      <c r="J32" s="191">
        <f t="shared" si="8"/>
        <v>0</v>
      </c>
      <c r="K32" s="224">
        <f t="shared" si="10"/>
        <v>0</v>
      </c>
      <c r="L32" s="38"/>
    </row>
    <row r="33" spans="2:12" ht="30" customHeight="1" x14ac:dyDescent="0.3">
      <c r="B33" s="37" t="str">
        <f t="shared" si="0"/>
        <v>ITone</v>
      </c>
      <c r="C33" s="2">
        <f>IF(ISTEXT(D33),MAX($C$6:$C32)+1,"")</f>
        <v>28</v>
      </c>
      <c r="D33" s="159" t="s">
        <v>9</v>
      </c>
      <c r="E33" s="160" t="s">
        <v>160</v>
      </c>
      <c r="F33" s="225" t="s">
        <v>43</v>
      </c>
      <c r="G33" s="192"/>
      <c r="H33" s="193"/>
      <c r="I33" s="190">
        <f t="shared" si="7"/>
        <v>3</v>
      </c>
      <c r="J33" s="191">
        <f t="shared" si="8"/>
        <v>0</v>
      </c>
      <c r="K33" s="224">
        <f t="shared" si="10"/>
        <v>0</v>
      </c>
      <c r="L33" s="38"/>
    </row>
    <row r="34" spans="2:12" ht="41.4" x14ac:dyDescent="0.3">
      <c r="B34" s="37" t="str">
        <f t="shared" si="0"/>
        <v>ITone</v>
      </c>
      <c r="C34" s="2">
        <f>IF(ISTEXT(D34),MAX($C$6:$C33)+1,"")</f>
        <v>29</v>
      </c>
      <c r="D34" s="159" t="s">
        <v>9</v>
      </c>
      <c r="E34" s="160" t="s">
        <v>161</v>
      </c>
      <c r="F34" s="225" t="s">
        <v>43</v>
      </c>
      <c r="G34" s="192"/>
      <c r="H34" s="193"/>
      <c r="I34" s="190">
        <f t="shared" si="7"/>
        <v>3</v>
      </c>
      <c r="J34" s="191">
        <f t="shared" si="8"/>
        <v>0</v>
      </c>
      <c r="K34" s="224">
        <f t="shared" si="10"/>
        <v>0</v>
      </c>
      <c r="L34" s="38"/>
    </row>
    <row r="35" spans="2:12" ht="30" customHeight="1" x14ac:dyDescent="0.3">
      <c r="B35" s="37" t="str">
        <f t="shared" si="0"/>
        <v>ITone</v>
      </c>
      <c r="C35" s="2">
        <f>IF(ISTEXT(D35),MAX($C$6:$C34)+1,"")</f>
        <v>30</v>
      </c>
      <c r="D35" s="159" t="s">
        <v>9</v>
      </c>
      <c r="E35" s="160" t="s">
        <v>162</v>
      </c>
      <c r="F35" s="225" t="s">
        <v>43</v>
      </c>
      <c r="G35" s="192"/>
      <c r="H35" s="193"/>
      <c r="I35" s="190">
        <f t="shared" si="7"/>
        <v>3</v>
      </c>
      <c r="J35" s="191">
        <f t="shared" si="8"/>
        <v>0</v>
      </c>
      <c r="K35" s="224">
        <f t="shared" ref="K35:K38" si="11">I35*J35</f>
        <v>0</v>
      </c>
      <c r="L35" s="38"/>
    </row>
    <row r="36" spans="2:12" ht="30" customHeight="1" x14ac:dyDescent="0.3">
      <c r="B36" s="37" t="str">
        <f t="shared" si="0"/>
        <v>ITone</v>
      </c>
      <c r="C36" s="2">
        <f>IF(ISTEXT(D36),MAX($C$6:$C35)+1,"")</f>
        <v>31</v>
      </c>
      <c r="D36" s="159" t="s">
        <v>9</v>
      </c>
      <c r="E36" s="160" t="s">
        <v>163</v>
      </c>
      <c r="F36" s="225" t="s">
        <v>43</v>
      </c>
      <c r="G36" s="192"/>
      <c r="H36" s="193"/>
      <c r="I36" s="190">
        <f t="shared" si="7"/>
        <v>3</v>
      </c>
      <c r="J36" s="191">
        <f t="shared" si="8"/>
        <v>0</v>
      </c>
      <c r="K36" s="224">
        <f t="shared" si="11"/>
        <v>0</v>
      </c>
      <c r="L36" s="38"/>
    </row>
    <row r="37" spans="2:12" ht="30" customHeight="1" x14ac:dyDescent="0.3">
      <c r="B37" s="37" t="str">
        <f t="shared" si="0"/>
        <v>ITone</v>
      </c>
      <c r="C37" s="2">
        <f>IF(ISTEXT(D37),MAX($C$6:$C36)+1,"")</f>
        <v>32</v>
      </c>
      <c r="D37" s="159" t="s">
        <v>9</v>
      </c>
      <c r="E37" s="160" t="s">
        <v>164</v>
      </c>
      <c r="F37" s="225" t="s">
        <v>43</v>
      </c>
      <c r="G37" s="192"/>
      <c r="H37" s="193"/>
      <c r="I37" s="190">
        <f t="shared" si="7"/>
        <v>3</v>
      </c>
      <c r="J37" s="191">
        <f t="shared" si="8"/>
        <v>0</v>
      </c>
      <c r="K37" s="224">
        <f t="shared" si="11"/>
        <v>0</v>
      </c>
      <c r="L37" s="38"/>
    </row>
    <row r="38" spans="2:12" ht="30" customHeight="1" x14ac:dyDescent="0.3">
      <c r="B38" s="37" t="str">
        <f t="shared" si="0"/>
        <v>ITone</v>
      </c>
      <c r="C38" s="2">
        <f>IF(ISTEXT(D38),MAX($C$6:$C37)+1,"")</f>
        <v>33</v>
      </c>
      <c r="D38" s="159" t="s">
        <v>9</v>
      </c>
      <c r="E38" s="160" t="s">
        <v>165</v>
      </c>
      <c r="F38" s="225" t="s">
        <v>43</v>
      </c>
      <c r="G38" s="192"/>
      <c r="H38" s="193"/>
      <c r="I38" s="190">
        <f t="shared" si="7"/>
        <v>3</v>
      </c>
      <c r="J38" s="191">
        <f t="shared" si="8"/>
        <v>0</v>
      </c>
      <c r="K38" s="224">
        <f t="shared" si="11"/>
        <v>0</v>
      </c>
      <c r="L38" s="38"/>
    </row>
    <row r="39" spans="2:12" ht="30" customHeight="1" x14ac:dyDescent="0.3">
      <c r="B39" s="37" t="str">
        <f t="shared" si="0"/>
        <v>ITone</v>
      </c>
      <c r="C39" s="2">
        <f>IF(ISTEXT(D39),MAX($C$6:$C38)+1,"")</f>
        <v>34</v>
      </c>
      <c r="D39" s="159" t="s">
        <v>9</v>
      </c>
      <c r="E39" s="160" t="s">
        <v>1236</v>
      </c>
      <c r="F39" s="225" t="s">
        <v>43</v>
      </c>
      <c r="G39" s="192"/>
      <c r="H39" s="193"/>
      <c r="I39" s="190">
        <f t="shared" si="7"/>
        <v>3</v>
      </c>
      <c r="J39" s="191">
        <f t="shared" si="8"/>
        <v>0</v>
      </c>
      <c r="K39" s="224">
        <f t="shared" ref="K39:K42" si="12">I39*J39</f>
        <v>0</v>
      </c>
      <c r="L39" s="38"/>
    </row>
    <row r="40" spans="2:12" ht="30" customHeight="1" x14ac:dyDescent="0.3">
      <c r="B40" s="37" t="str">
        <f t="shared" si="0"/>
        <v>ITone</v>
      </c>
      <c r="C40" s="2">
        <f>IF(ISTEXT(D40),MAX($C$6:$C39)+1,"")</f>
        <v>35</v>
      </c>
      <c r="D40" s="159" t="s">
        <v>9</v>
      </c>
      <c r="E40" s="160" t="s">
        <v>166</v>
      </c>
      <c r="F40" s="225" t="s">
        <v>43</v>
      </c>
      <c r="G40" s="192"/>
      <c r="H40" s="193"/>
      <c r="I40" s="190">
        <f t="shared" si="7"/>
        <v>3</v>
      </c>
      <c r="J40" s="191">
        <f t="shared" si="8"/>
        <v>0</v>
      </c>
      <c r="K40" s="224">
        <f t="shared" si="12"/>
        <v>0</v>
      </c>
      <c r="L40" s="38"/>
    </row>
    <row r="41" spans="2:12" ht="41.4" x14ac:dyDescent="0.3">
      <c r="B41" s="37" t="str">
        <f t="shared" si="0"/>
        <v>ITone</v>
      </c>
      <c r="C41" s="2">
        <f>IF(ISTEXT(D41),MAX($C$6:$C40)+1,"")</f>
        <v>36</v>
      </c>
      <c r="D41" s="159" t="s">
        <v>9</v>
      </c>
      <c r="E41" s="160" t="s">
        <v>167</v>
      </c>
      <c r="F41" s="225" t="s">
        <v>43</v>
      </c>
      <c r="G41" s="192"/>
      <c r="H41" s="193"/>
      <c r="I41" s="190">
        <f t="shared" si="7"/>
        <v>3</v>
      </c>
      <c r="J41" s="191">
        <f t="shared" si="8"/>
        <v>0</v>
      </c>
      <c r="K41" s="224">
        <f t="shared" si="12"/>
        <v>0</v>
      </c>
      <c r="L41" s="38"/>
    </row>
    <row r="42" spans="2:12" ht="30" customHeight="1" x14ac:dyDescent="0.3">
      <c r="B42" s="37" t="str">
        <f t="shared" si="0"/>
        <v>ITone</v>
      </c>
      <c r="C42" s="2">
        <f>IF(ISTEXT(D42),MAX($C$6:$C41)+1,"")</f>
        <v>37</v>
      </c>
      <c r="D42" s="159" t="s">
        <v>10</v>
      </c>
      <c r="E42" s="160" t="s">
        <v>168</v>
      </c>
      <c r="F42" s="225" t="s">
        <v>43</v>
      </c>
      <c r="G42" s="192"/>
      <c r="H42" s="193"/>
      <c r="I42" s="190">
        <f t="shared" si="7"/>
        <v>2</v>
      </c>
      <c r="J42" s="191">
        <f t="shared" si="8"/>
        <v>0</v>
      </c>
      <c r="K42" s="224">
        <f t="shared" si="12"/>
        <v>0</v>
      </c>
      <c r="L42" s="38"/>
    </row>
    <row r="43" spans="2:12" ht="32.700000000000003" customHeight="1" x14ac:dyDescent="0.3">
      <c r="B43" s="208"/>
      <c r="C43" s="209"/>
      <c r="D43" s="209"/>
      <c r="E43" s="59" t="s">
        <v>169</v>
      </c>
      <c r="F43" s="115"/>
      <c r="G43" s="31"/>
      <c r="H43" s="31"/>
      <c r="I43" s="31"/>
      <c r="J43" s="31"/>
      <c r="K43" s="31"/>
      <c r="L43" s="31"/>
    </row>
    <row r="44" spans="2:12" ht="30" customHeight="1" x14ac:dyDescent="0.3">
      <c r="B44" s="37" t="str">
        <f t="shared" si="0"/>
        <v>ITone</v>
      </c>
      <c r="C44" s="2">
        <f>IF(ISTEXT(D44),MAX($C$6:$C42)+1,"")</f>
        <v>38</v>
      </c>
      <c r="D44" s="159" t="s">
        <v>9</v>
      </c>
      <c r="E44" s="82" t="s">
        <v>170</v>
      </c>
      <c r="F44" s="225" t="s">
        <v>43</v>
      </c>
      <c r="G44" s="192"/>
      <c r="H44" s="193"/>
      <c r="I44" s="190">
        <f t="shared" ref="I44:I51" si="13">VLOOKUP($D44,SpecData,2,FALSE)</f>
        <v>3</v>
      </c>
      <c r="J44" s="191">
        <f t="shared" ref="J44:J51" si="14">VLOOKUP($F44,AvailabilityData,2,FALSE)</f>
        <v>0</v>
      </c>
      <c r="K44" s="224">
        <f t="shared" ref="K44:K47" si="15">I44*J44</f>
        <v>0</v>
      </c>
      <c r="L44" s="38"/>
    </row>
    <row r="45" spans="2:12" ht="30" customHeight="1" x14ac:dyDescent="0.3">
      <c r="B45" s="37" t="str">
        <f t="shared" si="0"/>
        <v>ITone</v>
      </c>
      <c r="C45" s="2">
        <f>IF(ISTEXT(D45),MAX($C$6:$C44)+1,"")</f>
        <v>39</v>
      </c>
      <c r="D45" s="159" t="s">
        <v>9</v>
      </c>
      <c r="E45" s="81" t="s">
        <v>171</v>
      </c>
      <c r="F45" s="225" t="s">
        <v>43</v>
      </c>
      <c r="G45" s="192"/>
      <c r="H45" s="193"/>
      <c r="I45" s="190">
        <f t="shared" si="13"/>
        <v>3</v>
      </c>
      <c r="J45" s="191">
        <f t="shared" si="14"/>
        <v>0</v>
      </c>
      <c r="K45" s="224">
        <f t="shared" si="15"/>
        <v>0</v>
      </c>
      <c r="L45" s="38"/>
    </row>
    <row r="46" spans="2:12" ht="30" customHeight="1" x14ac:dyDescent="0.3">
      <c r="B46" s="37" t="str">
        <f t="shared" si="0"/>
        <v>ITone</v>
      </c>
      <c r="C46" s="2">
        <f>IF(ISTEXT(D46),MAX($C$6:$C45)+1,"")</f>
        <v>40</v>
      </c>
      <c r="D46" s="159" t="s">
        <v>9</v>
      </c>
      <c r="E46" s="81" t="s">
        <v>172</v>
      </c>
      <c r="F46" s="225" t="s">
        <v>43</v>
      </c>
      <c r="G46" s="192"/>
      <c r="H46" s="193"/>
      <c r="I46" s="190">
        <f t="shared" si="13"/>
        <v>3</v>
      </c>
      <c r="J46" s="191">
        <f t="shared" si="14"/>
        <v>0</v>
      </c>
      <c r="K46" s="224">
        <f t="shared" si="15"/>
        <v>0</v>
      </c>
      <c r="L46" s="38"/>
    </row>
    <row r="47" spans="2:12" ht="30" customHeight="1" x14ac:dyDescent="0.3">
      <c r="B47" s="37" t="str">
        <f t="shared" si="0"/>
        <v>ITone</v>
      </c>
      <c r="C47" s="2">
        <f>IF(ISTEXT(D47),MAX($C$6:$C46)+1,"")</f>
        <v>41</v>
      </c>
      <c r="D47" s="159" t="s">
        <v>9</v>
      </c>
      <c r="E47" s="81" t="s">
        <v>173</v>
      </c>
      <c r="F47" s="225" t="s">
        <v>43</v>
      </c>
      <c r="G47" s="192"/>
      <c r="H47" s="193"/>
      <c r="I47" s="190">
        <f t="shared" si="13"/>
        <v>3</v>
      </c>
      <c r="J47" s="191">
        <f t="shared" si="14"/>
        <v>0</v>
      </c>
      <c r="K47" s="224">
        <f t="shared" si="15"/>
        <v>0</v>
      </c>
      <c r="L47" s="38"/>
    </row>
    <row r="48" spans="2:12" ht="41.4" x14ac:dyDescent="0.3">
      <c r="B48" s="37" t="str">
        <f t="shared" si="0"/>
        <v>ITone</v>
      </c>
      <c r="C48" s="2">
        <f>IF(ISTEXT(D48),MAX($C$6:$C47)+1,"")</f>
        <v>42</v>
      </c>
      <c r="D48" s="159" t="s">
        <v>9</v>
      </c>
      <c r="E48" s="60" t="s">
        <v>174</v>
      </c>
      <c r="F48" s="225" t="s">
        <v>43</v>
      </c>
      <c r="G48" s="192"/>
      <c r="H48" s="193"/>
      <c r="I48" s="190">
        <f t="shared" si="13"/>
        <v>3</v>
      </c>
      <c r="J48" s="191">
        <f t="shared" si="14"/>
        <v>0</v>
      </c>
      <c r="K48" s="224">
        <f t="shared" ref="K48:K49" si="16">I48*J48</f>
        <v>0</v>
      </c>
      <c r="L48" s="38"/>
    </row>
    <row r="49" spans="2:12" ht="27.6" x14ac:dyDescent="0.3">
      <c r="B49" s="37" t="str">
        <f t="shared" si="0"/>
        <v>ITone</v>
      </c>
      <c r="C49" s="2">
        <f>IF(ISTEXT(D49),MAX($C$6:$C48)+1,"")</f>
        <v>43</v>
      </c>
      <c r="D49" s="159" t="s">
        <v>9</v>
      </c>
      <c r="E49" s="60" t="s">
        <v>1256</v>
      </c>
      <c r="F49" s="225" t="s">
        <v>43</v>
      </c>
      <c r="G49" s="192"/>
      <c r="H49" s="193"/>
      <c r="I49" s="190">
        <f t="shared" si="13"/>
        <v>3</v>
      </c>
      <c r="J49" s="191">
        <f t="shared" si="14"/>
        <v>0</v>
      </c>
      <c r="K49" s="224">
        <f t="shared" si="16"/>
        <v>0</v>
      </c>
      <c r="L49" s="38"/>
    </row>
    <row r="50" spans="2:12" ht="41.4" x14ac:dyDescent="0.3">
      <c r="B50" s="37" t="str">
        <f t="shared" si="0"/>
        <v>ITone</v>
      </c>
      <c r="C50" s="2">
        <f>IF(ISTEXT(D50),MAX($C$6:$C49)+1,"")</f>
        <v>44</v>
      </c>
      <c r="D50" s="210" t="s">
        <v>9</v>
      </c>
      <c r="E50" s="211" t="s">
        <v>1257</v>
      </c>
      <c r="F50" s="225" t="s">
        <v>43</v>
      </c>
      <c r="G50" s="192"/>
      <c r="H50" s="193"/>
      <c r="I50" s="190">
        <f>VLOOKUP($D50,SpecData,2,FALSE)</f>
        <v>3</v>
      </c>
      <c r="J50" s="191">
        <f>VLOOKUP($F50,AvailabilityData,2,FALSE)</f>
        <v>0</v>
      </c>
      <c r="K50" s="224">
        <f>I50*J50</f>
        <v>0</v>
      </c>
      <c r="L50" s="157"/>
    </row>
    <row r="51" spans="2:12" ht="41.4" x14ac:dyDescent="0.3">
      <c r="B51" s="37" t="str">
        <f t="shared" si="0"/>
        <v>ITone</v>
      </c>
      <c r="C51" s="2">
        <f>IF(ISTEXT(D51),MAX($C$6:$C50)+1,"")</f>
        <v>45</v>
      </c>
      <c r="D51" s="159" t="s">
        <v>10</v>
      </c>
      <c r="E51" s="66" t="s">
        <v>1255</v>
      </c>
      <c r="F51" s="225" t="s">
        <v>43</v>
      </c>
      <c r="G51" s="192"/>
      <c r="H51" s="193"/>
      <c r="I51" s="190">
        <f t="shared" si="13"/>
        <v>2</v>
      </c>
      <c r="J51" s="191">
        <f t="shared" si="14"/>
        <v>0</v>
      </c>
      <c r="K51" s="224">
        <f>I51*J51</f>
        <v>0</v>
      </c>
      <c r="L51" s="38"/>
    </row>
    <row r="52" spans="2:12" ht="30" customHeight="1" x14ac:dyDescent="0.3">
      <c r="B52" s="37" t="str">
        <f t="shared" si="0"/>
        <v>ITone</v>
      </c>
      <c r="C52" s="2">
        <f>IF(ISTEXT(D52),MAX($C$6:$C51)+1,"")</f>
        <v>46</v>
      </c>
      <c r="D52" s="159" t="s">
        <v>9</v>
      </c>
      <c r="E52" s="60" t="s">
        <v>175</v>
      </c>
      <c r="F52" s="225" t="s">
        <v>43</v>
      </c>
      <c r="G52" s="192"/>
      <c r="H52" s="193"/>
      <c r="I52" s="190">
        <f t="shared" si="4"/>
        <v>3</v>
      </c>
      <c r="J52" s="191">
        <f t="shared" si="5"/>
        <v>0</v>
      </c>
      <c r="K52" s="224">
        <f t="shared" si="6"/>
        <v>0</v>
      </c>
      <c r="L52" s="39"/>
    </row>
    <row r="53" spans="2:12" ht="30" hidden="1" customHeight="1" x14ac:dyDescent="0.3">
      <c r="B53" s="212"/>
      <c r="C53" s="212"/>
      <c r="D53" s="213"/>
      <c r="E53" s="214"/>
      <c r="F53" s="215"/>
      <c r="H53" s="216"/>
      <c r="I53" s="217"/>
      <c r="J53" s="218"/>
      <c r="K53" s="217"/>
      <c r="L53" s="207"/>
    </row>
    <row r="54" spans="2:12" ht="7.5" customHeight="1" x14ac:dyDescent="0.3">
      <c r="F54" s="219"/>
    </row>
    <row r="55" spans="2:12" ht="15" hidden="1" x14ac:dyDescent="0.3">
      <c r="F55" s="219"/>
    </row>
    <row r="56" spans="2:12" ht="15" hidden="1" x14ac:dyDescent="0.3">
      <c r="F56" s="219"/>
    </row>
    <row r="57" spans="2:12" ht="15" hidden="1" x14ac:dyDescent="0.3">
      <c r="F57" s="219"/>
    </row>
    <row r="58" spans="2:12" ht="15" hidden="1" x14ac:dyDescent="0.3">
      <c r="F58" s="219"/>
    </row>
    <row r="59" spans="2:12" ht="15" hidden="1" x14ac:dyDescent="0.3">
      <c r="F59" s="219"/>
    </row>
    <row r="60" spans="2:12" ht="15" hidden="1" x14ac:dyDescent="0.3">
      <c r="F60" s="219"/>
    </row>
    <row r="61" spans="2:12" ht="15" hidden="1" x14ac:dyDescent="0.3">
      <c r="F61" s="219"/>
    </row>
    <row r="62" spans="2:12" ht="15" hidden="1" x14ac:dyDescent="0.3">
      <c r="F62" s="219"/>
    </row>
    <row r="63" spans="2:12" ht="15" hidden="1" x14ac:dyDescent="0.3">
      <c r="F63" s="219"/>
    </row>
    <row r="64" spans="2:12" ht="15" hidden="1" x14ac:dyDescent="0.3">
      <c r="F64" s="219"/>
    </row>
    <row r="65" spans="6:6" ht="15" hidden="1" x14ac:dyDescent="0.3">
      <c r="F65" s="219"/>
    </row>
    <row r="66" spans="6:6" ht="15" hidden="1" x14ac:dyDescent="0.3">
      <c r="F66" s="219"/>
    </row>
    <row r="67" spans="6:6" ht="15" hidden="1" x14ac:dyDescent="0.3">
      <c r="F67" s="219"/>
    </row>
    <row r="68" spans="6:6" ht="15" hidden="1" x14ac:dyDescent="0.3">
      <c r="F68" s="219"/>
    </row>
    <row r="69" spans="6:6" ht="15" hidden="1" x14ac:dyDescent="0.3">
      <c r="F69" s="219"/>
    </row>
    <row r="70" spans="6:6" ht="15" hidden="1" x14ac:dyDescent="0.3">
      <c r="F70" s="219"/>
    </row>
    <row r="71" spans="6:6" ht="15" hidden="1" x14ac:dyDescent="0.3">
      <c r="F71" s="219"/>
    </row>
    <row r="72" spans="6:6" x14ac:dyDescent="0.3"/>
  </sheetData>
  <sheetProtection algorithmName="SHA-512" hashValue="DJD1LiFgG/oXqWrqF5kEG1dVo/+uY4YurmDDYkiuC9USuoi8qzueTnlmxQS8sYsE/NY7tkUporLyoAHPJjz11A==" saltValue="135NzxDJy9AE9plCN0S8vQ==" spinCount="100000" sheet="1" selectLockedCells="1"/>
  <conditionalFormatting sqref="D4">
    <cfRule type="cellIs" dxfId="326" priority="25" operator="equal">
      <formula>"Important"</formula>
    </cfRule>
    <cfRule type="cellIs" dxfId="325" priority="26" operator="equal">
      <formula>"Crucial"</formula>
    </cfRule>
    <cfRule type="cellIs" dxfId="324" priority="27" operator="equal">
      <formula>"N/A"</formula>
    </cfRule>
  </conditionalFormatting>
  <conditionalFormatting sqref="D6:D24 D26:D42 D44:D53">
    <cfRule type="cellIs" dxfId="323" priority="16" operator="equal">
      <formula>"Important"</formula>
    </cfRule>
    <cfRule type="cellIs" dxfId="322" priority="17" operator="equal">
      <formula>"Crucial"</formula>
    </cfRule>
    <cfRule type="cellIs" dxfId="321" priority="18" operator="equal">
      <formula>"N/A"</formula>
    </cfRule>
  </conditionalFormatting>
  <conditionalFormatting sqref="F4:F43">
    <cfRule type="cellIs" dxfId="320" priority="1" operator="equal">
      <formula>"Function Not Available"</formula>
    </cfRule>
    <cfRule type="cellIs" dxfId="319" priority="2" operator="equal">
      <formula>"Function Available"</formula>
    </cfRule>
    <cfRule type="cellIs" dxfId="318" priority="3" operator="equal">
      <formula>"Exception"</formula>
    </cfRule>
  </conditionalFormatting>
  <conditionalFormatting sqref="F44:F71">
    <cfRule type="cellIs" dxfId="317" priority="7" operator="equal">
      <formula>"Function Not Available"</formula>
    </cfRule>
    <cfRule type="cellIs" dxfId="316" priority="8" operator="equal">
      <formula>"Function Available"</formula>
    </cfRule>
    <cfRule type="cellIs" dxfId="315" priority="9" operator="equal">
      <formula>"Exception"</formula>
    </cfRule>
  </conditionalFormatting>
  <dataValidations count="3">
    <dataValidation type="list" allowBlank="1" showInputMessage="1" showErrorMessage="1" sqref="F4 F6" xr:uid="{00000000-0002-0000-0500-000000000000}">
      <formula1>AvailabilityType</formula1>
    </dataValidation>
    <dataValidation type="list" allowBlank="1" showInputMessage="1" showErrorMessage="1" sqref="D4 D6:D24 D26:D42 D44:D53" xr:uid="{00000000-0002-0000-0500-000001000000}">
      <formula1>SpecType</formula1>
    </dataValidation>
    <dataValidation type="list" allowBlank="1" showInputMessage="1" showErrorMessage="1" errorTitle="Invalid specification type" error="Please enter a Specification type from the drop-down list." sqref="F7:F24 F26:F42 F44:F53" xr:uid="{00000000-0002-0000-0500-000002000000}">
      <formula1>AvailabilityType</formula1>
    </dataValidation>
  </dataValidations>
  <pageMargins left="0.7" right="0.7" top="0.75" bottom="0.75" header="0.3" footer="0.3"/>
  <pageSetup scale="46"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C00"/>
  </sheetPr>
  <dimension ref="A1:M53"/>
  <sheetViews>
    <sheetView showGridLines="0" zoomScale="90" zoomScaleNormal="90" zoomScalePageLayoutView="40" workbookViewId="0">
      <selection activeCell="F4" sqref="F4"/>
    </sheetView>
  </sheetViews>
  <sheetFormatPr defaultColWidth="0" defaultRowHeight="14.4" zeroHeight="1" x14ac:dyDescent="0.3"/>
  <cols>
    <col min="1" max="1" width="1.441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6" customHeight="1" x14ac:dyDescent="0.3"/>
    <row r="2" spans="2:12" s="158" customFormat="1" ht="129" customHeight="1" thickBot="1" x14ac:dyDescent="0.3">
      <c r="B2" s="96" t="s">
        <v>44</v>
      </c>
      <c r="C2" s="97" t="s">
        <v>45</v>
      </c>
      <c r="D2" s="97" t="s">
        <v>46</v>
      </c>
      <c r="E2" s="97" t="s">
        <v>176</v>
      </c>
      <c r="F2" s="97" t="s">
        <v>42</v>
      </c>
      <c r="G2" s="98" t="s">
        <v>48</v>
      </c>
      <c r="H2" s="98" t="s">
        <v>49</v>
      </c>
      <c r="I2" s="99" t="s">
        <v>50</v>
      </c>
      <c r="J2" s="99" t="s">
        <v>51</v>
      </c>
      <c r="K2" s="100" t="s">
        <v>14</v>
      </c>
      <c r="L2" s="101" t="s">
        <v>52</v>
      </c>
    </row>
    <row r="3" spans="2:12" ht="16.2" thickBot="1" x14ac:dyDescent="0.35">
      <c r="B3" s="8" t="s">
        <v>177</v>
      </c>
      <c r="C3" s="8"/>
      <c r="D3" s="8"/>
      <c r="E3" s="8"/>
      <c r="F3" s="8"/>
      <c r="G3" s="34" t="s">
        <v>54</v>
      </c>
      <c r="H3" s="7">
        <f>COUNTA(D4:D501)</f>
        <v>46</v>
      </c>
      <c r="I3" s="24"/>
      <c r="J3" s="25" t="s">
        <v>55</v>
      </c>
      <c r="K3" s="26">
        <f>SUM(K4:K501)</f>
        <v>0</v>
      </c>
      <c r="L3" s="8"/>
    </row>
    <row r="4" spans="2:12" ht="30" customHeight="1" x14ac:dyDescent="0.3">
      <c r="B4" s="37" t="s">
        <v>178</v>
      </c>
      <c r="C4" s="2">
        <v>1</v>
      </c>
      <c r="D4" s="159" t="s">
        <v>10</v>
      </c>
      <c r="E4" s="162" t="s">
        <v>179</v>
      </c>
      <c r="F4" s="176" t="s">
        <v>43</v>
      </c>
      <c r="G4" s="177" t="s">
        <v>58</v>
      </c>
      <c r="H4" s="178">
        <f>COUNTIF(F4:F501,"Select from Drop Down")</f>
        <v>46</v>
      </c>
      <c r="I4" s="179">
        <f>VLOOKUP($D4,SpecData,2,FALSE)</f>
        <v>2</v>
      </c>
      <c r="J4" s="180">
        <f>VLOOKUP($F4,AvailabilityData,2,FALSE)</f>
        <v>0</v>
      </c>
      <c r="K4" s="181">
        <f>I4*J4</f>
        <v>0</v>
      </c>
      <c r="L4" s="38"/>
    </row>
    <row r="5" spans="2:12" ht="30" customHeight="1" x14ac:dyDescent="0.3">
      <c r="B5" s="40" t="str">
        <f t="shared" ref="B5:B52" si="0">IF(C5="","",$B$4)</f>
        <v/>
      </c>
      <c r="C5" s="1" t="str">
        <f>IF(ISTEXT(D5),MAX($C4:$C$7)+1,"")</f>
        <v/>
      </c>
      <c r="D5" s="3"/>
      <c r="E5" s="226" t="s">
        <v>180</v>
      </c>
      <c r="F5" s="31"/>
      <c r="G5" s="31"/>
      <c r="H5" s="31"/>
      <c r="I5" s="31"/>
      <c r="J5" s="31"/>
      <c r="K5" s="31"/>
      <c r="L5" s="31"/>
    </row>
    <row r="6" spans="2:12" ht="30" customHeight="1" x14ac:dyDescent="0.3">
      <c r="B6" s="37" t="str">
        <f>IF(C6="","",$B$4)</f>
        <v>IAlphaP</v>
      </c>
      <c r="C6" s="2">
        <v>2</v>
      </c>
      <c r="D6" s="159" t="s">
        <v>10</v>
      </c>
      <c r="E6" s="227" t="s">
        <v>181</v>
      </c>
      <c r="F6" s="176" t="s">
        <v>43</v>
      </c>
      <c r="G6" s="177" t="s">
        <v>60</v>
      </c>
      <c r="H6" s="178">
        <f>COUNTIF(F4:F501,"Function Available")</f>
        <v>0</v>
      </c>
      <c r="I6" s="179">
        <f>VLOOKUP($D6,SpecData,2,FALSE)</f>
        <v>2</v>
      </c>
      <c r="J6" s="180">
        <f>VLOOKUP($F6,AvailabilityData,2,FALSE)</f>
        <v>0</v>
      </c>
      <c r="K6" s="181">
        <f>I6*J6</f>
        <v>0</v>
      </c>
      <c r="L6" s="38"/>
    </row>
    <row r="7" spans="2:12" ht="30" customHeight="1" x14ac:dyDescent="0.3">
      <c r="B7" s="37" t="str">
        <f t="shared" si="0"/>
        <v>IAlphaP</v>
      </c>
      <c r="C7" s="2">
        <f>IF(ISTEXT(D7),MAX($C$6:$C6)+1,"")</f>
        <v>3</v>
      </c>
      <c r="D7" s="159" t="s">
        <v>10</v>
      </c>
      <c r="E7" s="227" t="s">
        <v>135</v>
      </c>
      <c r="F7" s="176" t="s">
        <v>43</v>
      </c>
      <c r="G7" s="177" t="s">
        <v>62</v>
      </c>
      <c r="H7" s="184">
        <f>COUNTIF(F4:F501,"Function Not Available")</f>
        <v>0</v>
      </c>
      <c r="I7" s="179">
        <f t="shared" ref="I7:I13" si="1">VLOOKUP($D7,SpecData,2,FALSE)</f>
        <v>2</v>
      </c>
      <c r="J7" s="180">
        <f t="shared" ref="J7:J13" si="2">VLOOKUP($F7,AvailabilityData,2,FALSE)</f>
        <v>0</v>
      </c>
      <c r="K7" s="220">
        <f t="shared" ref="K7:K13" si="3">I7*J7</f>
        <v>0</v>
      </c>
      <c r="L7" s="38"/>
    </row>
    <row r="8" spans="2:12" ht="30" customHeight="1" x14ac:dyDescent="0.3">
      <c r="B8" s="37" t="str">
        <f t="shared" si="0"/>
        <v>IAlphaP</v>
      </c>
      <c r="C8" s="2">
        <f>IF(ISTEXT(D8),MAX($C$6:$C7)+1,"")</f>
        <v>4</v>
      </c>
      <c r="D8" s="159" t="s">
        <v>10</v>
      </c>
      <c r="E8" s="227" t="s">
        <v>182</v>
      </c>
      <c r="F8" s="176" t="s">
        <v>43</v>
      </c>
      <c r="G8" s="177" t="s">
        <v>64</v>
      </c>
      <c r="H8" s="184">
        <f>COUNTIF(F4:F501,"Exception")</f>
        <v>0</v>
      </c>
      <c r="I8" s="179">
        <f t="shared" si="1"/>
        <v>2</v>
      </c>
      <c r="J8" s="180">
        <f t="shared" si="2"/>
        <v>0</v>
      </c>
      <c r="K8" s="181">
        <f t="shared" si="3"/>
        <v>0</v>
      </c>
      <c r="L8" s="38"/>
    </row>
    <row r="9" spans="2:12" ht="30" customHeight="1" x14ac:dyDescent="0.3">
      <c r="B9" s="37" t="str">
        <f t="shared" si="0"/>
        <v>IAlphaP</v>
      </c>
      <c r="C9" s="2">
        <f>IF(ISTEXT(D9),MAX($C$6:$C8)+1,"")</f>
        <v>5</v>
      </c>
      <c r="D9" s="159" t="s">
        <v>10</v>
      </c>
      <c r="E9" s="227" t="s">
        <v>183</v>
      </c>
      <c r="F9" s="176" t="s">
        <v>43</v>
      </c>
      <c r="G9" s="177" t="s">
        <v>66</v>
      </c>
      <c r="H9" s="185">
        <f>COUNTIFS(D:D,"=Crucial",F:F,"=Select From Drop Down")</f>
        <v>4</v>
      </c>
      <c r="I9" s="179">
        <f t="shared" si="1"/>
        <v>2</v>
      </c>
      <c r="J9" s="180">
        <f t="shared" si="2"/>
        <v>0</v>
      </c>
      <c r="K9" s="220">
        <f t="shared" si="3"/>
        <v>0</v>
      </c>
      <c r="L9" s="38"/>
    </row>
    <row r="10" spans="2:12" ht="30" customHeight="1" x14ac:dyDescent="0.3">
      <c r="B10" s="37" t="str">
        <f t="shared" si="0"/>
        <v>IAlphaP</v>
      </c>
      <c r="C10" s="2">
        <f>IF(ISTEXT(D10),MAX($C$6:$C9)+1,"")</f>
        <v>6</v>
      </c>
      <c r="D10" s="159" t="s">
        <v>10</v>
      </c>
      <c r="E10" s="227" t="s">
        <v>184</v>
      </c>
      <c r="F10" s="176" t="s">
        <v>43</v>
      </c>
      <c r="G10" s="177" t="s">
        <v>68</v>
      </c>
      <c r="H10" s="185">
        <f>COUNTIFS(D:D,"=Crucial",F:F,"=Function Available")</f>
        <v>0</v>
      </c>
      <c r="I10" s="179">
        <f t="shared" si="1"/>
        <v>2</v>
      </c>
      <c r="J10" s="180">
        <f t="shared" si="2"/>
        <v>0</v>
      </c>
      <c r="K10" s="220">
        <f t="shared" si="3"/>
        <v>0</v>
      </c>
      <c r="L10" s="38"/>
    </row>
    <row r="11" spans="2:12" ht="30" customHeight="1" x14ac:dyDescent="0.3">
      <c r="B11" s="37" t="str">
        <f t="shared" si="0"/>
        <v>IAlphaP</v>
      </c>
      <c r="C11" s="2">
        <f>IF(ISTEXT(D11),MAX($C$6:$C10)+1,"")</f>
        <v>7</v>
      </c>
      <c r="D11" s="159" t="s">
        <v>11</v>
      </c>
      <c r="E11" s="228" t="s">
        <v>185</v>
      </c>
      <c r="F11" s="176" t="s">
        <v>43</v>
      </c>
      <c r="G11" s="177" t="s">
        <v>70</v>
      </c>
      <c r="H11" s="185">
        <f>COUNTIFS(D:D,"=Crucial",F:F,"=Function Not Available")</f>
        <v>0</v>
      </c>
      <c r="I11" s="179">
        <f t="shared" si="1"/>
        <v>1</v>
      </c>
      <c r="J11" s="180">
        <f t="shared" si="2"/>
        <v>0</v>
      </c>
      <c r="K11" s="220">
        <f t="shared" si="3"/>
        <v>0</v>
      </c>
      <c r="L11" s="38"/>
    </row>
    <row r="12" spans="2:12" ht="30" customHeight="1" x14ac:dyDescent="0.3">
      <c r="B12" s="37" t="str">
        <f t="shared" si="0"/>
        <v>IAlphaP</v>
      </c>
      <c r="C12" s="2">
        <f>IF(ISTEXT(D12),MAX($C$6:$C11)+1,"")</f>
        <v>8</v>
      </c>
      <c r="D12" s="159" t="s">
        <v>11</v>
      </c>
      <c r="E12" s="228" t="s">
        <v>186</v>
      </c>
      <c r="F12" s="176" t="s">
        <v>43</v>
      </c>
      <c r="G12" s="192" t="s">
        <v>72</v>
      </c>
      <c r="H12" s="221">
        <f>COUNTIFS(D:D,"=Crucial",F:F,"=Exception")</f>
        <v>0</v>
      </c>
      <c r="I12" s="222">
        <f t="shared" si="1"/>
        <v>1</v>
      </c>
      <c r="J12" s="223">
        <f t="shared" si="2"/>
        <v>0</v>
      </c>
      <c r="K12" s="224">
        <f t="shared" si="3"/>
        <v>0</v>
      </c>
      <c r="L12" s="41"/>
    </row>
    <row r="13" spans="2:12" ht="30" customHeight="1" x14ac:dyDescent="0.3">
      <c r="B13" s="37" t="str">
        <f t="shared" si="0"/>
        <v>IAlphaP</v>
      </c>
      <c r="C13" s="2">
        <f>IF(ISTEXT(D13),MAX($C$6:$C12)+1,"")</f>
        <v>9</v>
      </c>
      <c r="D13" s="159" t="s">
        <v>11</v>
      </c>
      <c r="E13" s="228" t="s">
        <v>187</v>
      </c>
      <c r="F13" s="176" t="s">
        <v>43</v>
      </c>
      <c r="G13" s="229" t="s">
        <v>74</v>
      </c>
      <c r="H13" s="230">
        <f>COUNTIFS(D:D,"=Important",F:F,"=Select From Drop Down")</f>
        <v>24</v>
      </c>
      <c r="I13" s="231">
        <f t="shared" si="1"/>
        <v>1</v>
      </c>
      <c r="J13" s="232">
        <f t="shared" si="2"/>
        <v>0</v>
      </c>
      <c r="K13" s="233">
        <f t="shared" si="3"/>
        <v>0</v>
      </c>
      <c r="L13" s="42"/>
    </row>
    <row r="14" spans="2:12" ht="30" customHeight="1" x14ac:dyDescent="0.3">
      <c r="B14" s="40" t="str">
        <f t="shared" si="0"/>
        <v/>
      </c>
      <c r="C14" s="1" t="str">
        <f>IF(ISTEXT(D14),MAX($C$6:$C13)+1,"")</f>
        <v/>
      </c>
      <c r="D14" s="3"/>
      <c r="E14" s="226" t="s">
        <v>188</v>
      </c>
      <c r="F14" s="31"/>
      <c r="G14" s="31"/>
      <c r="H14" s="31"/>
      <c r="I14" s="31"/>
      <c r="J14" s="31"/>
      <c r="K14" s="31"/>
      <c r="L14" s="31"/>
    </row>
    <row r="15" spans="2:12" ht="30" customHeight="1" x14ac:dyDescent="0.3">
      <c r="B15" s="37" t="str">
        <f t="shared" si="0"/>
        <v>IAlphaP</v>
      </c>
      <c r="C15" s="2">
        <f>IF(ISTEXT(D15),MAX($C$6:$C14)+1,"")</f>
        <v>10</v>
      </c>
      <c r="D15" s="159" t="s">
        <v>11</v>
      </c>
      <c r="E15" s="227" t="s">
        <v>189</v>
      </c>
      <c r="F15" s="176" t="s">
        <v>43</v>
      </c>
      <c r="G15" s="186" t="s">
        <v>76</v>
      </c>
      <c r="H15" s="187">
        <f>COUNTIFS(D:D,"=Important",F:F,"=Function Available")</f>
        <v>0</v>
      </c>
      <c r="I15" s="179">
        <f t="shared" ref="I15:I27" si="4">VLOOKUP($D15,SpecData,2,FALSE)</f>
        <v>1</v>
      </c>
      <c r="J15" s="180">
        <f t="shared" ref="J15:J27" si="5">VLOOKUP($F15,AvailabilityData,2,FALSE)</f>
        <v>0</v>
      </c>
      <c r="K15" s="181">
        <f t="shared" ref="K15:K35" si="6">I15*J15</f>
        <v>0</v>
      </c>
      <c r="L15" s="44"/>
    </row>
    <row r="16" spans="2:12" ht="30" customHeight="1" x14ac:dyDescent="0.3">
      <c r="B16" s="37" t="str">
        <f t="shared" si="0"/>
        <v>IAlphaP</v>
      </c>
      <c r="C16" s="2">
        <f>IF(ISTEXT(D16),MAX($C$6:$C15)+1,"")</f>
        <v>11</v>
      </c>
      <c r="D16" s="159" t="s">
        <v>9</v>
      </c>
      <c r="E16" s="228" t="s">
        <v>190</v>
      </c>
      <c r="F16" s="176" t="s">
        <v>43</v>
      </c>
      <c r="G16" s="177" t="s">
        <v>78</v>
      </c>
      <c r="H16" s="185">
        <f>COUNTIFS(D:D,"=Important",F:F,"=Function Not Available")</f>
        <v>0</v>
      </c>
      <c r="I16" s="188">
        <f t="shared" si="4"/>
        <v>3</v>
      </c>
      <c r="J16" s="189">
        <f t="shared" si="5"/>
        <v>0</v>
      </c>
      <c r="K16" s="220">
        <f t="shared" si="6"/>
        <v>0</v>
      </c>
      <c r="L16" s="38"/>
    </row>
    <row r="17" spans="2:12" ht="30" customHeight="1" x14ac:dyDescent="0.3">
      <c r="B17" s="37" t="str">
        <f t="shared" si="0"/>
        <v>IAlphaP</v>
      </c>
      <c r="C17" s="2">
        <f>IF(ISTEXT(D17),MAX($C$6:$C16)+1,"")</f>
        <v>12</v>
      </c>
      <c r="D17" s="159" t="s">
        <v>9</v>
      </c>
      <c r="E17" s="228" t="s">
        <v>191</v>
      </c>
      <c r="F17" s="176" t="s">
        <v>43</v>
      </c>
      <c r="G17" s="177" t="s">
        <v>80</v>
      </c>
      <c r="H17" s="185">
        <f>COUNTIFS(D:D,"=Important",F:F,"=Exception")</f>
        <v>0</v>
      </c>
      <c r="I17" s="188">
        <f t="shared" si="4"/>
        <v>3</v>
      </c>
      <c r="J17" s="189">
        <f t="shared" si="5"/>
        <v>0</v>
      </c>
      <c r="K17" s="220">
        <f t="shared" si="6"/>
        <v>0</v>
      </c>
      <c r="L17" s="38"/>
    </row>
    <row r="18" spans="2:12" ht="30" customHeight="1" x14ac:dyDescent="0.3">
      <c r="B18" s="37" t="str">
        <f t="shared" si="0"/>
        <v>IAlphaP</v>
      </c>
      <c r="C18" s="2">
        <f>IF(ISTEXT(D18),MAX($C$6:$C17)+1,"")</f>
        <v>13</v>
      </c>
      <c r="D18" s="159" t="s">
        <v>10</v>
      </c>
      <c r="E18" s="228" t="s">
        <v>192</v>
      </c>
      <c r="F18" s="176" t="s">
        <v>43</v>
      </c>
      <c r="G18" s="177" t="s">
        <v>82</v>
      </c>
      <c r="H18" s="185">
        <f>COUNTIFS(D:D,"=Minimal",F:F,"=Select From Drop Down")</f>
        <v>18</v>
      </c>
      <c r="I18" s="188">
        <f t="shared" si="4"/>
        <v>2</v>
      </c>
      <c r="J18" s="189">
        <f t="shared" si="5"/>
        <v>0</v>
      </c>
      <c r="K18" s="220">
        <f t="shared" si="6"/>
        <v>0</v>
      </c>
      <c r="L18" s="38"/>
    </row>
    <row r="19" spans="2:12" ht="30" customHeight="1" x14ac:dyDescent="0.3">
      <c r="B19" s="37" t="str">
        <f t="shared" si="0"/>
        <v>IAlphaP</v>
      </c>
      <c r="C19" s="2">
        <f>IF(ISTEXT(D19),MAX($C$6:$C18)+1,"")</f>
        <v>14</v>
      </c>
      <c r="D19" s="159" t="s">
        <v>11</v>
      </c>
      <c r="E19" s="228" t="s">
        <v>193</v>
      </c>
      <c r="F19" s="176" t="s">
        <v>43</v>
      </c>
      <c r="G19" s="177" t="s">
        <v>84</v>
      </c>
      <c r="H19" s="185">
        <f>COUNTIFS(D:D,"=Minimal",F:F,"=Function Available")</f>
        <v>0</v>
      </c>
      <c r="I19" s="188">
        <f t="shared" si="4"/>
        <v>1</v>
      </c>
      <c r="J19" s="189">
        <f t="shared" si="5"/>
        <v>0</v>
      </c>
      <c r="K19" s="220">
        <f t="shared" si="6"/>
        <v>0</v>
      </c>
      <c r="L19" s="38"/>
    </row>
    <row r="20" spans="2:12" ht="30" customHeight="1" x14ac:dyDescent="0.3">
      <c r="B20" s="37" t="str">
        <f t="shared" si="0"/>
        <v>IAlphaP</v>
      </c>
      <c r="C20" s="2">
        <f>IF(ISTEXT(D20),MAX($C$6:$C19)+1,"")</f>
        <v>15</v>
      </c>
      <c r="D20" s="159" t="s">
        <v>11</v>
      </c>
      <c r="E20" s="228" t="s">
        <v>194</v>
      </c>
      <c r="F20" s="176" t="s">
        <v>43</v>
      </c>
      <c r="G20" s="177" t="s">
        <v>86</v>
      </c>
      <c r="H20" s="185">
        <f>COUNTIFS(D:D,"=Minimal",F:F,"=Function Not Available")</f>
        <v>0</v>
      </c>
      <c r="I20" s="188">
        <f t="shared" si="4"/>
        <v>1</v>
      </c>
      <c r="J20" s="189">
        <f t="shared" si="5"/>
        <v>0</v>
      </c>
      <c r="K20" s="220">
        <f t="shared" si="6"/>
        <v>0</v>
      </c>
      <c r="L20" s="38"/>
    </row>
    <row r="21" spans="2:12" ht="30" customHeight="1" x14ac:dyDescent="0.3">
      <c r="B21" s="37" t="str">
        <f t="shared" si="0"/>
        <v>IAlphaP</v>
      </c>
      <c r="C21" s="2">
        <f>IF(ISTEXT(D21),MAX($C$6:$C20)+1,"")</f>
        <v>16</v>
      </c>
      <c r="D21" s="159" t="s">
        <v>9</v>
      </c>
      <c r="E21" s="228" t="s">
        <v>136</v>
      </c>
      <c r="F21" s="176" t="s">
        <v>43</v>
      </c>
      <c r="G21" s="177" t="s">
        <v>88</v>
      </c>
      <c r="H21" s="185">
        <f>COUNTIFS(D:D,"=Minimal",F:F,"=Exception")</f>
        <v>0</v>
      </c>
      <c r="I21" s="188">
        <f t="shared" si="4"/>
        <v>3</v>
      </c>
      <c r="J21" s="189">
        <f t="shared" si="5"/>
        <v>0</v>
      </c>
      <c r="K21" s="220">
        <f t="shared" si="6"/>
        <v>0</v>
      </c>
      <c r="L21" s="38"/>
    </row>
    <row r="22" spans="2:12" ht="30" customHeight="1" x14ac:dyDescent="0.3">
      <c r="B22" s="37" t="str">
        <f t="shared" si="0"/>
        <v>IAlphaP</v>
      </c>
      <c r="C22" s="2">
        <f>IF(ISTEXT(D22),MAX($C$6:$C21)+1,"")</f>
        <v>17</v>
      </c>
      <c r="D22" s="159" t="s">
        <v>10</v>
      </c>
      <c r="E22" s="228" t="s">
        <v>195</v>
      </c>
      <c r="F22" s="176" t="s">
        <v>43</v>
      </c>
      <c r="G22" s="177"/>
      <c r="H22" s="184"/>
      <c r="I22" s="188">
        <f t="shared" si="4"/>
        <v>2</v>
      </c>
      <c r="J22" s="189">
        <f t="shared" si="5"/>
        <v>0</v>
      </c>
      <c r="K22" s="220">
        <f t="shared" si="6"/>
        <v>0</v>
      </c>
      <c r="L22" s="38"/>
    </row>
    <row r="23" spans="2:12" ht="30" customHeight="1" x14ac:dyDescent="0.3">
      <c r="B23" s="37" t="str">
        <f t="shared" si="0"/>
        <v>IAlphaP</v>
      </c>
      <c r="C23" s="2">
        <f>IF(ISTEXT(D23),MAX($C$6:$C22)+1,"")</f>
        <v>18</v>
      </c>
      <c r="D23" s="159" t="s">
        <v>10</v>
      </c>
      <c r="E23" s="162" t="s">
        <v>196</v>
      </c>
      <c r="F23" s="176" t="s">
        <v>43</v>
      </c>
      <c r="G23" s="177"/>
      <c r="H23" s="184"/>
      <c r="I23" s="188">
        <f t="shared" si="4"/>
        <v>2</v>
      </c>
      <c r="J23" s="189">
        <f t="shared" si="5"/>
        <v>0</v>
      </c>
      <c r="K23" s="220">
        <f t="shared" si="6"/>
        <v>0</v>
      </c>
      <c r="L23" s="38"/>
    </row>
    <row r="24" spans="2:12" ht="30" customHeight="1" x14ac:dyDescent="0.3">
      <c r="B24" s="37" t="str">
        <f t="shared" si="0"/>
        <v>IAlphaP</v>
      </c>
      <c r="C24" s="2">
        <f>IF(ISTEXT(D24),MAX($C$6:$C23)+1,"")</f>
        <v>19</v>
      </c>
      <c r="D24" s="159" t="s">
        <v>10</v>
      </c>
      <c r="E24" s="160" t="s">
        <v>197</v>
      </c>
      <c r="F24" s="176" t="s">
        <v>43</v>
      </c>
      <c r="G24" s="177"/>
      <c r="H24" s="184"/>
      <c r="I24" s="188">
        <f t="shared" si="4"/>
        <v>2</v>
      </c>
      <c r="J24" s="189">
        <f t="shared" si="5"/>
        <v>0</v>
      </c>
      <c r="K24" s="220">
        <f t="shared" si="6"/>
        <v>0</v>
      </c>
      <c r="L24" s="38"/>
    </row>
    <row r="25" spans="2:12" ht="30" customHeight="1" x14ac:dyDescent="0.3">
      <c r="B25" s="40" t="str">
        <f t="shared" si="0"/>
        <v/>
      </c>
      <c r="C25" s="1" t="str">
        <f>IF(ISTEXT(D25),MAX($C$6:$C24)+1,"")</f>
        <v/>
      </c>
      <c r="D25" s="3"/>
      <c r="E25" s="226" t="s">
        <v>198</v>
      </c>
      <c r="F25" s="31"/>
      <c r="G25" s="31"/>
      <c r="H25" s="31"/>
      <c r="I25" s="31"/>
      <c r="J25" s="31"/>
      <c r="K25" s="31"/>
      <c r="L25" s="31"/>
    </row>
    <row r="26" spans="2:12" ht="30" customHeight="1" x14ac:dyDescent="0.3">
      <c r="B26" s="37" t="str">
        <f t="shared" si="0"/>
        <v>IAlphaP</v>
      </c>
      <c r="C26" s="2">
        <f>IF(ISTEXT(D26),MAX($C$6:$C25)+1,"")</f>
        <v>20</v>
      </c>
      <c r="D26" s="159" t="s">
        <v>11</v>
      </c>
      <c r="E26" s="227" t="s">
        <v>199</v>
      </c>
      <c r="F26" s="176" t="s">
        <v>43</v>
      </c>
      <c r="G26" s="177"/>
      <c r="H26" s="184"/>
      <c r="I26" s="188">
        <f t="shared" si="4"/>
        <v>1</v>
      </c>
      <c r="J26" s="189">
        <f t="shared" si="5"/>
        <v>0</v>
      </c>
      <c r="K26" s="220">
        <f t="shared" si="6"/>
        <v>0</v>
      </c>
      <c r="L26" s="38"/>
    </row>
    <row r="27" spans="2:12" ht="30" customHeight="1" x14ac:dyDescent="0.3">
      <c r="B27" s="37" t="str">
        <f t="shared" si="0"/>
        <v>IAlphaP</v>
      </c>
      <c r="C27" s="2">
        <f>IF(ISTEXT(D27),MAX($C$6:$C26)+1,"")</f>
        <v>21</v>
      </c>
      <c r="D27" s="159" t="s">
        <v>11</v>
      </c>
      <c r="E27" s="228" t="s">
        <v>200</v>
      </c>
      <c r="F27" s="176" t="s">
        <v>43</v>
      </c>
      <c r="G27" s="177"/>
      <c r="H27" s="184"/>
      <c r="I27" s="188">
        <f t="shared" si="4"/>
        <v>1</v>
      </c>
      <c r="J27" s="189">
        <f t="shared" si="5"/>
        <v>0</v>
      </c>
      <c r="K27" s="220">
        <f t="shared" si="6"/>
        <v>0</v>
      </c>
      <c r="L27" s="38"/>
    </row>
    <row r="28" spans="2:12" ht="30" customHeight="1" x14ac:dyDescent="0.3">
      <c r="B28" s="37" t="str">
        <f t="shared" si="0"/>
        <v>IAlphaP</v>
      </c>
      <c r="C28" s="2">
        <f>IF(ISTEXT(D28),MAX($C$6:$C27)+1,"")</f>
        <v>22</v>
      </c>
      <c r="D28" s="159" t="s">
        <v>10</v>
      </c>
      <c r="E28" s="228" t="s">
        <v>201</v>
      </c>
      <c r="F28" s="176" t="s">
        <v>43</v>
      </c>
      <c r="G28" s="177"/>
      <c r="H28" s="184"/>
      <c r="I28" s="188">
        <f t="shared" ref="I28:I35" si="7">VLOOKUP($D28,SpecData,2,FALSE)</f>
        <v>2</v>
      </c>
      <c r="J28" s="189">
        <f t="shared" ref="J28:J35" si="8">VLOOKUP($F28,AvailabilityData,2,FALSE)</f>
        <v>0</v>
      </c>
      <c r="K28" s="220">
        <f t="shared" si="6"/>
        <v>0</v>
      </c>
      <c r="L28" s="38"/>
    </row>
    <row r="29" spans="2:12" ht="30" customHeight="1" x14ac:dyDescent="0.3">
      <c r="B29" s="37" t="str">
        <f t="shared" si="0"/>
        <v>IAlphaP</v>
      </c>
      <c r="C29" s="2">
        <f>IF(ISTEXT(D29),MAX($C$6:$C28)+1,"")</f>
        <v>23</v>
      </c>
      <c r="D29" s="159" t="s">
        <v>10</v>
      </c>
      <c r="E29" s="228" t="s">
        <v>202</v>
      </c>
      <c r="F29" s="176" t="s">
        <v>43</v>
      </c>
      <c r="G29" s="177"/>
      <c r="H29" s="184"/>
      <c r="I29" s="188">
        <f t="shared" si="7"/>
        <v>2</v>
      </c>
      <c r="J29" s="189">
        <f t="shared" si="8"/>
        <v>0</v>
      </c>
      <c r="K29" s="220">
        <f t="shared" si="6"/>
        <v>0</v>
      </c>
      <c r="L29" s="38"/>
    </row>
    <row r="30" spans="2:12" ht="30" customHeight="1" x14ac:dyDescent="0.3">
      <c r="B30" s="37" t="str">
        <f t="shared" si="0"/>
        <v>IAlphaP</v>
      </c>
      <c r="C30" s="2">
        <f>IF(ISTEXT(D30),MAX($C$6:$C29)+1,"")</f>
        <v>24</v>
      </c>
      <c r="D30" s="159" t="s">
        <v>11</v>
      </c>
      <c r="E30" s="228" t="s">
        <v>203</v>
      </c>
      <c r="F30" s="176" t="s">
        <v>43</v>
      </c>
      <c r="G30" s="177"/>
      <c r="H30" s="184"/>
      <c r="I30" s="188">
        <f t="shared" si="7"/>
        <v>1</v>
      </c>
      <c r="J30" s="189">
        <f t="shared" si="8"/>
        <v>0</v>
      </c>
      <c r="K30" s="220">
        <f t="shared" si="6"/>
        <v>0</v>
      </c>
      <c r="L30" s="38"/>
    </row>
    <row r="31" spans="2:12" ht="30" customHeight="1" x14ac:dyDescent="0.3">
      <c r="B31" s="37" t="str">
        <f t="shared" si="0"/>
        <v>IAlphaP</v>
      </c>
      <c r="C31" s="2">
        <f>IF(ISTEXT(D31),MAX($C$6:$C30)+1,"")</f>
        <v>25</v>
      </c>
      <c r="D31" s="159" t="s">
        <v>10</v>
      </c>
      <c r="E31" s="162" t="s">
        <v>204</v>
      </c>
      <c r="F31" s="176" t="s">
        <v>43</v>
      </c>
      <c r="G31" s="177"/>
      <c r="H31" s="184"/>
      <c r="I31" s="188">
        <f t="shared" si="7"/>
        <v>2</v>
      </c>
      <c r="J31" s="189">
        <f t="shared" si="8"/>
        <v>0</v>
      </c>
      <c r="K31" s="220">
        <f t="shared" si="6"/>
        <v>0</v>
      </c>
      <c r="L31" s="38"/>
    </row>
    <row r="32" spans="2:12" ht="30" customHeight="1" x14ac:dyDescent="0.3">
      <c r="B32" s="37" t="str">
        <f t="shared" si="0"/>
        <v>IAlphaP</v>
      </c>
      <c r="C32" s="2">
        <f>IF(ISTEXT(D32),MAX($C$6:$C31)+1,"")</f>
        <v>26</v>
      </c>
      <c r="D32" s="159" t="s">
        <v>10</v>
      </c>
      <c r="E32" s="162" t="s">
        <v>205</v>
      </c>
      <c r="F32" s="176" t="s">
        <v>43</v>
      </c>
      <c r="G32" s="177"/>
      <c r="H32" s="184"/>
      <c r="I32" s="188">
        <f t="shared" si="7"/>
        <v>2</v>
      </c>
      <c r="J32" s="189">
        <f t="shared" si="8"/>
        <v>0</v>
      </c>
      <c r="K32" s="220">
        <f t="shared" si="6"/>
        <v>0</v>
      </c>
      <c r="L32" s="38"/>
    </row>
    <row r="33" spans="2:12" ht="30" customHeight="1" x14ac:dyDescent="0.3">
      <c r="B33" s="37" t="str">
        <f t="shared" si="0"/>
        <v>IAlphaP</v>
      </c>
      <c r="C33" s="2">
        <f>IF(ISTEXT(D33),MAX($C$6:$C32)+1,"")</f>
        <v>27</v>
      </c>
      <c r="D33" s="159" t="s">
        <v>11</v>
      </c>
      <c r="E33" s="162" t="s">
        <v>206</v>
      </c>
      <c r="F33" s="176" t="s">
        <v>43</v>
      </c>
      <c r="G33" s="177"/>
      <c r="H33" s="184"/>
      <c r="I33" s="188">
        <f t="shared" si="7"/>
        <v>1</v>
      </c>
      <c r="J33" s="189">
        <f t="shared" si="8"/>
        <v>0</v>
      </c>
      <c r="K33" s="220">
        <f t="shared" si="6"/>
        <v>0</v>
      </c>
      <c r="L33" s="38"/>
    </row>
    <row r="34" spans="2:12" ht="30" customHeight="1" x14ac:dyDescent="0.3">
      <c r="B34" s="37" t="str">
        <f t="shared" si="0"/>
        <v>IAlphaP</v>
      </c>
      <c r="C34" s="2">
        <f>IF(ISTEXT(D34),MAX($C$6:$C33)+1,"")</f>
        <v>28</v>
      </c>
      <c r="D34" s="159" t="s">
        <v>10</v>
      </c>
      <c r="E34" s="162" t="s">
        <v>207</v>
      </c>
      <c r="F34" s="176" t="s">
        <v>43</v>
      </c>
      <c r="G34" s="177"/>
      <c r="H34" s="184"/>
      <c r="I34" s="188">
        <f t="shared" si="7"/>
        <v>2</v>
      </c>
      <c r="J34" s="189">
        <f t="shared" si="8"/>
        <v>0</v>
      </c>
      <c r="K34" s="220">
        <f t="shared" si="6"/>
        <v>0</v>
      </c>
      <c r="L34" s="38"/>
    </row>
    <row r="35" spans="2:12" ht="30" customHeight="1" x14ac:dyDescent="0.3">
      <c r="B35" s="37" t="str">
        <f t="shared" si="0"/>
        <v>IAlphaP</v>
      </c>
      <c r="C35" s="2">
        <f>IF(ISTEXT(D35),MAX($C$6:$C34)+1,"")</f>
        <v>29</v>
      </c>
      <c r="D35" s="159" t="s">
        <v>10</v>
      </c>
      <c r="E35" s="162" t="s">
        <v>208</v>
      </c>
      <c r="F35" s="176" t="s">
        <v>43</v>
      </c>
      <c r="G35" s="177"/>
      <c r="H35" s="184"/>
      <c r="I35" s="188">
        <f t="shared" si="7"/>
        <v>2</v>
      </c>
      <c r="J35" s="189">
        <f t="shared" si="8"/>
        <v>0</v>
      </c>
      <c r="K35" s="220">
        <f t="shared" si="6"/>
        <v>0</v>
      </c>
      <c r="L35" s="38"/>
    </row>
    <row r="36" spans="2:12" ht="30" customHeight="1" x14ac:dyDescent="0.3">
      <c r="B36" s="37" t="str">
        <f t="shared" si="0"/>
        <v>IAlphaP</v>
      </c>
      <c r="C36" s="2">
        <f>IF(ISTEXT(D36),MAX($C$6:$C35)+1,"")</f>
        <v>30</v>
      </c>
      <c r="D36" s="159" t="s">
        <v>11</v>
      </c>
      <c r="E36" s="162" t="s">
        <v>209</v>
      </c>
      <c r="F36" s="176" t="s">
        <v>43</v>
      </c>
      <c r="G36" s="177"/>
      <c r="H36" s="184"/>
      <c r="I36" s="188">
        <f t="shared" ref="I36:I41" si="9">VLOOKUP($D36,SpecData,2,FALSE)</f>
        <v>1</v>
      </c>
      <c r="J36" s="189">
        <f t="shared" ref="J36:J41" si="10">VLOOKUP($F36,AvailabilityData,2,FALSE)</f>
        <v>0</v>
      </c>
      <c r="K36" s="220">
        <f>I36*J36</f>
        <v>0</v>
      </c>
      <c r="L36" s="38"/>
    </row>
    <row r="37" spans="2:12" ht="30" customHeight="1" x14ac:dyDescent="0.3">
      <c r="B37" s="37" t="str">
        <f t="shared" si="0"/>
        <v>IAlphaP</v>
      </c>
      <c r="C37" s="2">
        <f>IF(ISTEXT(D37),MAX($C$6:$C36)+1,"")</f>
        <v>31</v>
      </c>
      <c r="D37" s="159" t="s">
        <v>11</v>
      </c>
      <c r="E37" s="162" t="s">
        <v>210</v>
      </c>
      <c r="F37" s="176" t="s">
        <v>43</v>
      </c>
      <c r="G37" s="177"/>
      <c r="H37" s="184"/>
      <c r="I37" s="188">
        <f t="shared" si="9"/>
        <v>1</v>
      </c>
      <c r="J37" s="189">
        <f t="shared" si="10"/>
        <v>0</v>
      </c>
      <c r="K37" s="220">
        <f t="shared" ref="K37:K41" si="11">I37*J37</f>
        <v>0</v>
      </c>
      <c r="L37" s="38"/>
    </row>
    <row r="38" spans="2:12" ht="30" customHeight="1" x14ac:dyDescent="0.3">
      <c r="B38" s="37" t="str">
        <f t="shared" si="0"/>
        <v>IAlphaP</v>
      </c>
      <c r="C38" s="2">
        <f>IF(ISTEXT(D38),MAX($C$6:$C37)+1,"")</f>
        <v>32</v>
      </c>
      <c r="D38" s="159" t="s">
        <v>11</v>
      </c>
      <c r="E38" s="162" t="s">
        <v>211</v>
      </c>
      <c r="F38" s="176" t="s">
        <v>43</v>
      </c>
      <c r="G38" s="177"/>
      <c r="H38" s="184"/>
      <c r="I38" s="188">
        <f t="shared" si="9"/>
        <v>1</v>
      </c>
      <c r="J38" s="189">
        <f t="shared" si="10"/>
        <v>0</v>
      </c>
      <c r="K38" s="220">
        <f t="shared" si="11"/>
        <v>0</v>
      </c>
      <c r="L38" s="38"/>
    </row>
    <row r="39" spans="2:12" ht="30" customHeight="1" x14ac:dyDescent="0.3">
      <c r="B39" s="37" t="str">
        <f t="shared" si="0"/>
        <v>IAlphaP</v>
      </c>
      <c r="C39" s="2">
        <f>IF(ISTEXT(D39),MAX($C$6:$C38)+1,"")</f>
        <v>33</v>
      </c>
      <c r="D39" s="159" t="s">
        <v>11</v>
      </c>
      <c r="E39" s="162" t="s">
        <v>212</v>
      </c>
      <c r="F39" s="176" t="s">
        <v>43</v>
      </c>
      <c r="G39" s="177"/>
      <c r="H39" s="184"/>
      <c r="I39" s="188">
        <f t="shared" si="9"/>
        <v>1</v>
      </c>
      <c r="J39" s="189">
        <f t="shared" si="10"/>
        <v>0</v>
      </c>
      <c r="K39" s="220">
        <f t="shared" si="11"/>
        <v>0</v>
      </c>
      <c r="L39" s="38"/>
    </row>
    <row r="40" spans="2:12" ht="30" customHeight="1" x14ac:dyDescent="0.3">
      <c r="B40" s="37" t="str">
        <f t="shared" si="0"/>
        <v>IAlphaP</v>
      </c>
      <c r="C40" s="2">
        <f>IF(ISTEXT(D40),MAX($C$6:$C39)+1,"")</f>
        <v>34</v>
      </c>
      <c r="D40" s="159" t="s">
        <v>10</v>
      </c>
      <c r="E40" s="162" t="s">
        <v>213</v>
      </c>
      <c r="F40" s="176" t="s">
        <v>43</v>
      </c>
      <c r="G40" s="177"/>
      <c r="H40" s="184"/>
      <c r="I40" s="188">
        <f t="shared" si="9"/>
        <v>2</v>
      </c>
      <c r="J40" s="189">
        <f t="shared" si="10"/>
        <v>0</v>
      </c>
      <c r="K40" s="220">
        <f t="shared" si="11"/>
        <v>0</v>
      </c>
      <c r="L40" s="38"/>
    </row>
    <row r="41" spans="2:12" ht="30" customHeight="1" x14ac:dyDescent="0.3">
      <c r="B41" s="37" t="str">
        <f t="shared" si="0"/>
        <v>IAlphaP</v>
      </c>
      <c r="C41" s="2">
        <f>IF(ISTEXT(D41),MAX($C$6:$C40)+1,"")</f>
        <v>35</v>
      </c>
      <c r="D41" s="159" t="s">
        <v>11</v>
      </c>
      <c r="E41" s="162" t="s">
        <v>214</v>
      </c>
      <c r="F41" s="176" t="s">
        <v>43</v>
      </c>
      <c r="G41" s="177"/>
      <c r="H41" s="184"/>
      <c r="I41" s="188">
        <f t="shared" si="9"/>
        <v>1</v>
      </c>
      <c r="J41" s="189">
        <f t="shared" si="10"/>
        <v>0</v>
      </c>
      <c r="K41" s="220">
        <f t="shared" si="11"/>
        <v>0</v>
      </c>
      <c r="L41" s="39"/>
    </row>
    <row r="42" spans="2:12" ht="30" customHeight="1" x14ac:dyDescent="0.3">
      <c r="B42" s="37" t="str">
        <f t="shared" si="0"/>
        <v>IAlphaP</v>
      </c>
      <c r="C42" s="2">
        <f>IF(ISTEXT(D42),MAX($C$6:$C41)+1,"")</f>
        <v>36</v>
      </c>
      <c r="D42" s="159" t="s">
        <v>10</v>
      </c>
      <c r="E42" s="162" t="s">
        <v>215</v>
      </c>
      <c r="F42" s="176" t="s">
        <v>43</v>
      </c>
      <c r="G42" s="177"/>
      <c r="H42" s="184"/>
      <c r="I42" s="188">
        <f t="shared" ref="I42:I52" si="12">VLOOKUP($D42,SpecData,2,FALSE)</f>
        <v>2</v>
      </c>
      <c r="J42" s="189">
        <f t="shared" ref="J42:J52" si="13">VLOOKUP($F42,AvailabilityData,2,FALSE)</f>
        <v>0</v>
      </c>
      <c r="K42" s="220">
        <f>I42*J42</f>
        <v>0</v>
      </c>
      <c r="L42" s="38"/>
    </row>
    <row r="43" spans="2:12" ht="45.75" customHeight="1" x14ac:dyDescent="0.3">
      <c r="B43" s="37" t="str">
        <f t="shared" si="0"/>
        <v>IAlphaP</v>
      </c>
      <c r="C43" s="2">
        <f>IF(ISTEXT(D43),MAX($C$6:$C42)+1,"")</f>
        <v>37</v>
      </c>
      <c r="D43" s="159" t="s">
        <v>10</v>
      </c>
      <c r="E43" s="162" t="s">
        <v>216</v>
      </c>
      <c r="F43" s="176" t="s">
        <v>43</v>
      </c>
      <c r="G43" s="177"/>
      <c r="H43" s="184"/>
      <c r="I43" s="188">
        <f t="shared" si="12"/>
        <v>2</v>
      </c>
      <c r="J43" s="189">
        <f t="shared" si="13"/>
        <v>0</v>
      </c>
      <c r="K43" s="220">
        <f t="shared" ref="K43:K46" si="14">I43*J43</f>
        <v>0</v>
      </c>
      <c r="L43" s="38"/>
    </row>
    <row r="44" spans="2:12" ht="30" customHeight="1" x14ac:dyDescent="0.3">
      <c r="B44" s="37" t="str">
        <f t="shared" si="0"/>
        <v>IAlphaP</v>
      </c>
      <c r="C44" s="2">
        <f>IF(ISTEXT(D44),MAX($C$6:$C43)+1,"")</f>
        <v>38</v>
      </c>
      <c r="D44" s="159" t="s">
        <v>11</v>
      </c>
      <c r="E44" s="162" t="s">
        <v>217</v>
      </c>
      <c r="F44" s="176" t="s">
        <v>43</v>
      </c>
      <c r="G44" s="177"/>
      <c r="H44" s="184"/>
      <c r="I44" s="188">
        <f t="shared" si="12"/>
        <v>1</v>
      </c>
      <c r="J44" s="189">
        <f t="shared" si="13"/>
        <v>0</v>
      </c>
      <c r="K44" s="220">
        <f t="shared" si="14"/>
        <v>0</v>
      </c>
      <c r="L44" s="38"/>
    </row>
    <row r="45" spans="2:12" ht="30" customHeight="1" x14ac:dyDescent="0.3">
      <c r="B45" s="37" t="str">
        <f t="shared" si="0"/>
        <v>IAlphaP</v>
      </c>
      <c r="C45" s="2">
        <f>IF(ISTEXT(D45),MAX($C$6:$C44)+1,"")</f>
        <v>39</v>
      </c>
      <c r="D45" s="159" t="s">
        <v>11</v>
      </c>
      <c r="E45" s="162" t="s">
        <v>218</v>
      </c>
      <c r="F45" s="176" t="s">
        <v>43</v>
      </c>
      <c r="G45" s="177"/>
      <c r="H45" s="184"/>
      <c r="I45" s="188">
        <f t="shared" si="12"/>
        <v>1</v>
      </c>
      <c r="J45" s="189">
        <f t="shared" si="13"/>
        <v>0</v>
      </c>
      <c r="K45" s="220">
        <f t="shared" si="14"/>
        <v>0</v>
      </c>
      <c r="L45" s="38"/>
    </row>
    <row r="46" spans="2:12" ht="30" customHeight="1" x14ac:dyDescent="0.3">
      <c r="B46" s="37" t="str">
        <f t="shared" si="0"/>
        <v>IAlphaP</v>
      </c>
      <c r="C46" s="2">
        <f>IF(ISTEXT(D46),MAX($C$6:$C45)+1,"")</f>
        <v>40</v>
      </c>
      <c r="D46" s="159" t="s">
        <v>10</v>
      </c>
      <c r="E46" s="162" t="s">
        <v>219</v>
      </c>
      <c r="F46" s="176" t="s">
        <v>43</v>
      </c>
      <c r="G46" s="177"/>
      <c r="H46" s="184"/>
      <c r="I46" s="188">
        <f t="shared" si="12"/>
        <v>2</v>
      </c>
      <c r="J46" s="189">
        <f t="shared" si="13"/>
        <v>0</v>
      </c>
      <c r="K46" s="220">
        <f t="shared" si="14"/>
        <v>0</v>
      </c>
      <c r="L46" s="38"/>
    </row>
    <row r="47" spans="2:12" ht="30" customHeight="1" x14ac:dyDescent="0.3">
      <c r="B47" s="37" t="str">
        <f t="shared" si="0"/>
        <v>IAlphaP</v>
      </c>
      <c r="C47" s="2">
        <f>IF(ISTEXT(D47),MAX($C$6:$C46)+1,"")</f>
        <v>41</v>
      </c>
      <c r="D47" s="159" t="s">
        <v>10</v>
      </c>
      <c r="E47" s="162" t="s">
        <v>220</v>
      </c>
      <c r="F47" s="176" t="s">
        <v>43</v>
      </c>
      <c r="G47" s="186"/>
      <c r="H47" s="234"/>
      <c r="I47" s="179">
        <f t="shared" si="12"/>
        <v>2</v>
      </c>
      <c r="J47" s="180">
        <f t="shared" si="13"/>
        <v>0</v>
      </c>
      <c r="K47" s="181">
        <f>I47*J47</f>
        <v>0</v>
      </c>
      <c r="L47" s="38"/>
    </row>
    <row r="48" spans="2:12" ht="30" customHeight="1" x14ac:dyDescent="0.3">
      <c r="B48" s="37" t="str">
        <f t="shared" si="0"/>
        <v>IAlphaP</v>
      </c>
      <c r="C48" s="2">
        <f>IF(ISTEXT(D48),MAX($C$6:$C47)+1,"")</f>
        <v>42</v>
      </c>
      <c r="D48" s="159" t="s">
        <v>10</v>
      </c>
      <c r="E48" s="162" t="s">
        <v>1238</v>
      </c>
      <c r="F48" s="176" t="s">
        <v>43</v>
      </c>
      <c r="G48" s="177"/>
      <c r="H48" s="184"/>
      <c r="I48" s="188">
        <f t="shared" si="12"/>
        <v>2</v>
      </c>
      <c r="J48" s="189">
        <f t="shared" si="13"/>
        <v>0</v>
      </c>
      <c r="K48" s="220">
        <f t="shared" ref="K48:K52" si="15">I48*J48</f>
        <v>0</v>
      </c>
      <c r="L48" s="38"/>
    </row>
    <row r="49" spans="2:12" ht="30" customHeight="1" x14ac:dyDescent="0.3">
      <c r="B49" s="37" t="str">
        <f t="shared" si="0"/>
        <v>IAlphaP</v>
      </c>
      <c r="C49" s="2">
        <f>IF(ISTEXT(D49),MAX($C$6:$C48)+1,"")</f>
        <v>43</v>
      </c>
      <c r="D49" s="159" t="s">
        <v>10</v>
      </c>
      <c r="E49" s="162" t="s">
        <v>1239</v>
      </c>
      <c r="F49" s="176" t="s">
        <v>43</v>
      </c>
      <c r="G49" s="177"/>
      <c r="H49" s="184"/>
      <c r="I49" s="188">
        <f t="shared" si="12"/>
        <v>2</v>
      </c>
      <c r="J49" s="189">
        <f t="shared" si="13"/>
        <v>0</v>
      </c>
      <c r="K49" s="220">
        <f t="shared" si="15"/>
        <v>0</v>
      </c>
      <c r="L49" s="38"/>
    </row>
    <row r="50" spans="2:12" ht="30" customHeight="1" x14ac:dyDescent="0.3">
      <c r="B50" s="37" t="str">
        <f t="shared" si="0"/>
        <v>IAlphaP</v>
      </c>
      <c r="C50" s="2">
        <f>IF(ISTEXT(D50),MAX($C$6:$C49)+1,"")</f>
        <v>44</v>
      </c>
      <c r="D50" s="159" t="s">
        <v>10</v>
      </c>
      <c r="E50" s="162" t="s">
        <v>221</v>
      </c>
      <c r="F50" s="176" t="s">
        <v>43</v>
      </c>
      <c r="G50" s="177"/>
      <c r="H50" s="184"/>
      <c r="I50" s="188">
        <f t="shared" si="12"/>
        <v>2</v>
      </c>
      <c r="J50" s="189">
        <f t="shared" si="13"/>
        <v>0</v>
      </c>
      <c r="K50" s="220">
        <f t="shared" si="15"/>
        <v>0</v>
      </c>
      <c r="L50" s="38"/>
    </row>
    <row r="51" spans="2:12" ht="30" customHeight="1" x14ac:dyDescent="0.3">
      <c r="B51" s="37" t="str">
        <f t="shared" si="0"/>
        <v>IAlphaP</v>
      </c>
      <c r="C51" s="2">
        <f>IF(ISTEXT(D51),MAX($C$6:$C50)+1,"")</f>
        <v>45</v>
      </c>
      <c r="D51" s="159" t="s">
        <v>9</v>
      </c>
      <c r="E51" s="162" t="s">
        <v>222</v>
      </c>
      <c r="F51" s="176" t="s">
        <v>43</v>
      </c>
      <c r="G51" s="177"/>
      <c r="H51" s="184"/>
      <c r="I51" s="188">
        <f t="shared" si="12"/>
        <v>3</v>
      </c>
      <c r="J51" s="189">
        <f t="shared" si="13"/>
        <v>0</v>
      </c>
      <c r="K51" s="220">
        <f t="shared" si="15"/>
        <v>0</v>
      </c>
      <c r="L51" s="38"/>
    </row>
    <row r="52" spans="2:12" ht="30" customHeight="1" x14ac:dyDescent="0.3">
      <c r="B52" s="164" t="str">
        <f t="shared" si="0"/>
        <v>IAlphaP</v>
      </c>
      <c r="C52" s="165">
        <f>IF(ISTEXT(D52),MAX($C$6:$C51)+1,"")</f>
        <v>46</v>
      </c>
      <c r="D52" s="159" t="s">
        <v>11</v>
      </c>
      <c r="E52" s="160" t="s">
        <v>223</v>
      </c>
      <c r="F52" s="176" t="s">
        <v>43</v>
      </c>
      <c r="G52" s="192"/>
      <c r="H52" s="193"/>
      <c r="I52" s="190">
        <f t="shared" si="12"/>
        <v>1</v>
      </c>
      <c r="J52" s="191">
        <f t="shared" si="13"/>
        <v>0</v>
      </c>
      <c r="K52" s="224">
        <f t="shared" si="15"/>
        <v>0</v>
      </c>
      <c r="L52" s="39"/>
    </row>
    <row r="53" spans="2:12" ht="6.75" customHeight="1" x14ac:dyDescent="0.3"/>
  </sheetData>
  <sheetProtection algorithmName="SHA-512" hashValue="vpa+1tRptFDY/Dul2d+aHiAeC/Gav70pH9ZkacbPNyKb1Vmy+3ONoRiW87wdUkZOJfqWUGmrm0OgN6Tb1vekqg==" saltValue="EhYzx+apq0R26J6Hu6oWVQ==" spinCount="100000" sheet="1" selectLockedCells="1"/>
  <conditionalFormatting sqref="D4">
    <cfRule type="cellIs" dxfId="314" priority="43" operator="equal">
      <formula>"Important"</formula>
    </cfRule>
    <cfRule type="cellIs" dxfId="313" priority="44" operator="equal">
      <formula>"Crucial"</formula>
    </cfRule>
    <cfRule type="cellIs" dxfId="312" priority="45" operator="equal">
      <formula>"N/A"</formula>
    </cfRule>
  </conditionalFormatting>
  <conditionalFormatting sqref="D6:D13">
    <cfRule type="cellIs" dxfId="311" priority="37" operator="equal">
      <formula>"Important"</formula>
    </cfRule>
    <cfRule type="cellIs" dxfId="310" priority="38" operator="equal">
      <formula>"Crucial"</formula>
    </cfRule>
    <cfRule type="cellIs" dxfId="309" priority="39" operator="equal">
      <formula>"N/A"</formula>
    </cfRule>
  </conditionalFormatting>
  <conditionalFormatting sqref="D15:D24">
    <cfRule type="cellIs" dxfId="308" priority="31" operator="equal">
      <formula>"Important"</formula>
    </cfRule>
    <cfRule type="cellIs" dxfId="307" priority="32" operator="equal">
      <formula>"Crucial"</formula>
    </cfRule>
    <cfRule type="cellIs" dxfId="306" priority="33" operator="equal">
      <formula>"N/A"</formula>
    </cfRule>
  </conditionalFormatting>
  <conditionalFormatting sqref="D26:D52">
    <cfRule type="cellIs" dxfId="305" priority="25" operator="equal">
      <formula>"Important"</formula>
    </cfRule>
    <cfRule type="cellIs" dxfId="304" priority="26" operator="equal">
      <formula>"Crucial"</formula>
    </cfRule>
    <cfRule type="cellIs" dxfId="303" priority="27" operator="equal">
      <formula>"N/A"</formula>
    </cfRule>
  </conditionalFormatting>
  <conditionalFormatting sqref="F4">
    <cfRule type="cellIs" dxfId="302" priority="10" operator="equal">
      <formula>"Function Not Available"</formula>
    </cfRule>
    <cfRule type="cellIs" dxfId="301" priority="11" operator="equal">
      <formula>"Function Available"</formula>
    </cfRule>
    <cfRule type="cellIs" dxfId="300" priority="12" operator="equal">
      <formula>"Exception"</formula>
    </cfRule>
  </conditionalFormatting>
  <conditionalFormatting sqref="F6:F13">
    <cfRule type="cellIs" dxfId="299" priority="7" operator="equal">
      <formula>"Function Not Available"</formula>
    </cfRule>
    <cfRule type="cellIs" dxfId="298" priority="8" operator="equal">
      <formula>"Function Available"</formula>
    </cfRule>
    <cfRule type="cellIs" dxfId="297" priority="9" operator="equal">
      <formula>"Exception"</formula>
    </cfRule>
  </conditionalFormatting>
  <conditionalFormatting sqref="F15:F24">
    <cfRule type="cellIs" dxfId="296" priority="4" operator="equal">
      <formula>"Function Not Available"</formula>
    </cfRule>
    <cfRule type="cellIs" dxfId="295" priority="5" operator="equal">
      <formula>"Function Available"</formula>
    </cfRule>
    <cfRule type="cellIs" dxfId="294" priority="6" operator="equal">
      <formula>"Exception"</formula>
    </cfRule>
  </conditionalFormatting>
  <conditionalFormatting sqref="F26:F52">
    <cfRule type="cellIs" dxfId="293" priority="1" operator="equal">
      <formula>"Function Not Available"</formula>
    </cfRule>
    <cfRule type="cellIs" dxfId="292" priority="2" operator="equal">
      <formula>"Function Available"</formula>
    </cfRule>
    <cfRule type="cellIs" dxfId="291" priority="3" operator="equal">
      <formula>"Exception"</formula>
    </cfRule>
  </conditionalFormatting>
  <dataValidations count="3">
    <dataValidation type="list" allowBlank="1" showInputMessage="1" showErrorMessage="1" sqref="F4 F6" xr:uid="{00000000-0002-0000-0600-000000000000}">
      <formula1>AvailabilityType</formula1>
    </dataValidation>
    <dataValidation type="list" allowBlank="1" showInputMessage="1" showErrorMessage="1" sqref="D4 D6:D13 D15:D24 D26:D52" xr:uid="{00000000-0002-0000-0600-000001000000}">
      <formula1>SpecType</formula1>
    </dataValidation>
    <dataValidation type="list" allowBlank="1" showInputMessage="1" showErrorMessage="1" errorTitle="Invalid specification type" error="Please enter a Specification type from the drop-down list." sqref="F7:F13 F15:F24 F26:F52" xr:uid="{00000000-0002-0000-06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C00"/>
  </sheetPr>
  <dimension ref="A1:M33"/>
  <sheetViews>
    <sheetView showGridLines="0" zoomScaleNormal="100" zoomScaleSheetLayoutView="40" zoomScalePageLayoutView="40" workbookViewId="0">
      <selection activeCell="F4" sqref="F4"/>
    </sheetView>
  </sheetViews>
  <sheetFormatPr defaultColWidth="0" defaultRowHeight="14.4" zeroHeight="1" x14ac:dyDescent="0.3"/>
  <cols>
    <col min="1" max="1" width="0.6640625" customWidth="1"/>
    <col min="2" max="2" width="11.6640625" customWidth="1"/>
    <col min="3" max="3" width="11.44140625" customWidth="1"/>
    <col min="4" max="4" width="23.33203125" customWidth="1"/>
    <col min="5" max="5" width="65.6640625" style="74" customWidth="1"/>
    <col min="6" max="6" width="28.6640625" customWidth="1"/>
    <col min="7" max="7" width="15.44140625" style="35" hidden="1" customWidth="1"/>
    <col min="8" max="11" width="12.6640625" hidden="1" customWidth="1"/>
    <col min="12" max="12" width="49.44140625" customWidth="1"/>
    <col min="13" max="13" width="2" customWidth="1"/>
    <col min="14" max="16384" width="9.33203125" hidden="1"/>
  </cols>
  <sheetData>
    <row r="1" spans="2:12" ht="5.7" customHeight="1" x14ac:dyDescent="0.3"/>
    <row r="2" spans="2:12" s="158" customFormat="1" ht="129" customHeight="1" thickBot="1" x14ac:dyDescent="0.3">
      <c r="B2" s="96" t="s">
        <v>44</v>
      </c>
      <c r="C2" s="97" t="s">
        <v>45</v>
      </c>
      <c r="D2" s="97" t="s">
        <v>46</v>
      </c>
      <c r="E2" s="97" t="s">
        <v>224</v>
      </c>
      <c r="F2" s="97" t="s">
        <v>42</v>
      </c>
      <c r="G2" s="98" t="s">
        <v>48</v>
      </c>
      <c r="H2" s="98" t="s">
        <v>49</v>
      </c>
      <c r="I2" s="99" t="s">
        <v>50</v>
      </c>
      <c r="J2" s="99" t="s">
        <v>51</v>
      </c>
      <c r="K2" s="100" t="s">
        <v>14</v>
      </c>
      <c r="L2" s="101" t="s">
        <v>52</v>
      </c>
    </row>
    <row r="3" spans="2:12" ht="16.2" thickBot="1" x14ac:dyDescent="0.35">
      <c r="B3" s="8" t="s">
        <v>225</v>
      </c>
      <c r="C3" s="8"/>
      <c r="D3" s="8"/>
      <c r="E3" s="8"/>
      <c r="F3" s="8"/>
      <c r="G3" s="34" t="s">
        <v>54</v>
      </c>
      <c r="H3" s="7">
        <f>COUNTA(D4:D501)</f>
        <v>28</v>
      </c>
      <c r="I3" s="24"/>
      <c r="J3" s="25" t="s">
        <v>55</v>
      </c>
      <c r="K3" s="26">
        <f>SUM(K4:K501)</f>
        <v>0</v>
      </c>
      <c r="L3" s="8"/>
    </row>
    <row r="4" spans="2:12" ht="30" customHeight="1" x14ac:dyDescent="0.3">
      <c r="B4" s="37" t="s">
        <v>226</v>
      </c>
      <c r="C4" s="2">
        <v>1</v>
      </c>
      <c r="D4" s="159" t="s">
        <v>9</v>
      </c>
      <c r="E4" s="163" t="s">
        <v>227</v>
      </c>
      <c r="F4" s="176" t="s">
        <v>43</v>
      </c>
      <c r="G4" s="177" t="s">
        <v>58</v>
      </c>
      <c r="H4" s="178">
        <f>COUNTIF(F4:F501,"Select from Drop Down")</f>
        <v>28</v>
      </c>
      <c r="I4" s="179">
        <f>VLOOKUP($D4,SpecData,2,FALSE)</f>
        <v>3</v>
      </c>
      <c r="J4" s="180">
        <f>VLOOKUP($F4,AvailabilityData,2,FALSE)</f>
        <v>0</v>
      </c>
      <c r="K4" s="181">
        <f>I4*J4</f>
        <v>0</v>
      </c>
      <c r="L4" s="38"/>
    </row>
    <row r="5" spans="2:12" ht="30" customHeight="1" x14ac:dyDescent="0.3">
      <c r="B5" s="37" t="str">
        <f>IF(C5="","",$B$4)</f>
        <v>IAVL</v>
      </c>
      <c r="C5" s="2">
        <v>2</v>
      </c>
      <c r="D5" s="159" t="s">
        <v>9</v>
      </c>
      <c r="E5" s="163" t="s">
        <v>228</v>
      </c>
      <c r="F5" s="176" t="s">
        <v>43</v>
      </c>
      <c r="G5" s="177" t="s">
        <v>60</v>
      </c>
      <c r="H5" s="178">
        <f>COUNTIF(F4:F501,"Function Available")</f>
        <v>0</v>
      </c>
      <c r="I5" s="179">
        <f>VLOOKUP($D5,SpecData,2,FALSE)</f>
        <v>3</v>
      </c>
      <c r="J5" s="180">
        <f>VLOOKUP($F5,AvailabilityData,2,FALSE)</f>
        <v>0</v>
      </c>
      <c r="K5" s="181">
        <f>I5*J5</f>
        <v>0</v>
      </c>
      <c r="L5" s="38"/>
    </row>
    <row r="6" spans="2:12" ht="30" customHeight="1" x14ac:dyDescent="0.3">
      <c r="B6" s="37" t="str">
        <f t="shared" ref="B6:B32" si="0">IF(C6="","",$B$4)</f>
        <v>IAVL</v>
      </c>
      <c r="C6" s="2">
        <v>3</v>
      </c>
      <c r="D6" s="159" t="s">
        <v>9</v>
      </c>
      <c r="E6" s="163" t="s">
        <v>229</v>
      </c>
      <c r="F6" s="176" t="s">
        <v>43</v>
      </c>
      <c r="G6" s="177" t="s">
        <v>62</v>
      </c>
      <c r="H6" s="184">
        <f>COUNTIF(F4:F501,"Function Not Available")</f>
        <v>0</v>
      </c>
      <c r="I6" s="179">
        <f t="shared" ref="I6:I12" si="1">VLOOKUP($D6,SpecData,2,FALSE)</f>
        <v>3</v>
      </c>
      <c r="J6" s="180">
        <f t="shared" ref="J6:J12" si="2">VLOOKUP($F6,AvailabilityData,2,FALSE)</f>
        <v>0</v>
      </c>
      <c r="K6" s="220">
        <f t="shared" ref="K6:K12" si="3">I6*J6</f>
        <v>0</v>
      </c>
      <c r="L6" s="38"/>
    </row>
    <row r="7" spans="2:12" ht="30" customHeight="1" x14ac:dyDescent="0.3">
      <c r="B7" s="37" t="str">
        <f t="shared" si="0"/>
        <v>IAVL</v>
      </c>
      <c r="C7" s="2">
        <f>IF(ISTEXT(D7),MAX($C$6:$C6)+1,"")</f>
        <v>4</v>
      </c>
      <c r="D7" s="159" t="s">
        <v>9</v>
      </c>
      <c r="E7" s="163" t="s">
        <v>230</v>
      </c>
      <c r="F7" s="176" t="s">
        <v>43</v>
      </c>
      <c r="G7" s="177" t="s">
        <v>64</v>
      </c>
      <c r="H7" s="184">
        <f>COUNTIF(F4:F501,"Exception")</f>
        <v>0</v>
      </c>
      <c r="I7" s="179">
        <f t="shared" si="1"/>
        <v>3</v>
      </c>
      <c r="J7" s="180">
        <f t="shared" si="2"/>
        <v>0</v>
      </c>
      <c r="K7" s="181">
        <f t="shared" si="3"/>
        <v>0</v>
      </c>
      <c r="L7" s="38"/>
    </row>
    <row r="8" spans="2:12" ht="30" customHeight="1" x14ac:dyDescent="0.3">
      <c r="B8" s="37" t="str">
        <f t="shared" si="0"/>
        <v>IAVL</v>
      </c>
      <c r="C8" s="2">
        <f>IF(ISTEXT(D8),MAX($C$6:$C7)+1,"")</f>
        <v>5</v>
      </c>
      <c r="D8" s="159" t="s">
        <v>9</v>
      </c>
      <c r="E8" s="163" t="s">
        <v>231</v>
      </c>
      <c r="F8" s="176" t="s">
        <v>43</v>
      </c>
      <c r="G8" s="177" t="s">
        <v>66</v>
      </c>
      <c r="H8" s="185">
        <f>COUNTIFS(D:D,"=Crucial",F:F,"=Select From Drop Down")</f>
        <v>16</v>
      </c>
      <c r="I8" s="179">
        <f t="shared" si="1"/>
        <v>3</v>
      </c>
      <c r="J8" s="180">
        <f t="shared" si="2"/>
        <v>0</v>
      </c>
      <c r="K8" s="220">
        <f t="shared" si="3"/>
        <v>0</v>
      </c>
      <c r="L8" s="38"/>
    </row>
    <row r="9" spans="2:12" ht="30" customHeight="1" x14ac:dyDescent="0.3">
      <c r="B9" s="37" t="str">
        <f t="shared" si="0"/>
        <v>IAVL</v>
      </c>
      <c r="C9" s="2">
        <f>IF(ISTEXT(D9),MAX($C$6:$C8)+1,"")</f>
        <v>6</v>
      </c>
      <c r="D9" s="159" t="s">
        <v>10</v>
      </c>
      <c r="E9" s="163" t="s">
        <v>232</v>
      </c>
      <c r="F9" s="176" t="s">
        <v>43</v>
      </c>
      <c r="G9" s="177" t="s">
        <v>68</v>
      </c>
      <c r="H9" s="185">
        <f>COUNTIFS(D:D,"=Crucial",F:F,"=Function Available")</f>
        <v>0</v>
      </c>
      <c r="I9" s="179">
        <f t="shared" si="1"/>
        <v>2</v>
      </c>
      <c r="J9" s="180">
        <f t="shared" si="2"/>
        <v>0</v>
      </c>
      <c r="K9" s="220">
        <f t="shared" si="3"/>
        <v>0</v>
      </c>
      <c r="L9" s="38"/>
    </row>
    <row r="10" spans="2:12" ht="30" customHeight="1" x14ac:dyDescent="0.3">
      <c r="B10" s="37" t="str">
        <f t="shared" si="0"/>
        <v>IAVL</v>
      </c>
      <c r="C10" s="2">
        <f>IF(ISTEXT(D10),MAX($C$6:$C9)+1,"")</f>
        <v>7</v>
      </c>
      <c r="D10" s="159" t="s">
        <v>10</v>
      </c>
      <c r="E10" s="163" t="s">
        <v>233</v>
      </c>
      <c r="F10" s="176" t="s">
        <v>43</v>
      </c>
      <c r="G10" s="177" t="s">
        <v>70</v>
      </c>
      <c r="H10" s="185">
        <f>COUNTIFS(D:D,"=Crucial",F:F,"=Function Not Available")</f>
        <v>0</v>
      </c>
      <c r="I10" s="179">
        <f t="shared" si="1"/>
        <v>2</v>
      </c>
      <c r="J10" s="180">
        <f t="shared" si="2"/>
        <v>0</v>
      </c>
      <c r="K10" s="220">
        <f t="shared" si="3"/>
        <v>0</v>
      </c>
      <c r="L10" s="38"/>
    </row>
    <row r="11" spans="2:12" ht="30" customHeight="1" x14ac:dyDescent="0.3">
      <c r="B11" s="37" t="str">
        <f t="shared" si="0"/>
        <v>IAVL</v>
      </c>
      <c r="C11" s="2">
        <f>IF(ISTEXT(D11),MAX($C$6:$C10)+1,"")</f>
        <v>8</v>
      </c>
      <c r="D11" s="159" t="s">
        <v>10</v>
      </c>
      <c r="E11" s="163" t="s">
        <v>234</v>
      </c>
      <c r="F11" s="176" t="s">
        <v>43</v>
      </c>
      <c r="G11" s="192" t="s">
        <v>72</v>
      </c>
      <c r="H11" s="221">
        <f>COUNTIFS(D:D,"=Crucial",F:F,"=Exception")</f>
        <v>0</v>
      </c>
      <c r="I11" s="222">
        <f t="shared" si="1"/>
        <v>2</v>
      </c>
      <c r="J11" s="223">
        <f t="shared" si="2"/>
        <v>0</v>
      </c>
      <c r="K11" s="224">
        <f t="shared" si="3"/>
        <v>0</v>
      </c>
      <c r="L11" s="38"/>
    </row>
    <row r="12" spans="2:12" ht="30" customHeight="1" x14ac:dyDescent="0.3">
      <c r="B12" s="37" t="str">
        <f t="shared" si="0"/>
        <v>IAVL</v>
      </c>
      <c r="C12" s="2">
        <f>IF(ISTEXT(D12),MAX($C$6:$C11)+1,"")</f>
        <v>9</v>
      </c>
      <c r="D12" s="159" t="s">
        <v>10</v>
      </c>
      <c r="E12" s="163" t="s">
        <v>235</v>
      </c>
      <c r="F12" s="176" t="s">
        <v>43</v>
      </c>
      <c r="G12" s="177" t="s">
        <v>74</v>
      </c>
      <c r="H12" s="184">
        <f>COUNTIFS(D:D,"=Important",F:F,"=Select From Drop Down")</f>
        <v>12</v>
      </c>
      <c r="I12" s="179">
        <f t="shared" si="1"/>
        <v>2</v>
      </c>
      <c r="J12" s="180">
        <f t="shared" si="2"/>
        <v>0</v>
      </c>
      <c r="K12" s="181">
        <f t="shared" si="3"/>
        <v>0</v>
      </c>
      <c r="L12" s="38"/>
    </row>
    <row r="13" spans="2:12" ht="44.25" customHeight="1" x14ac:dyDescent="0.3">
      <c r="B13" s="37" t="str">
        <f t="shared" si="0"/>
        <v>IAVL</v>
      </c>
      <c r="C13" s="2">
        <f>IF(ISTEXT(D13),MAX($C$6:$C12)+1,"")</f>
        <v>10</v>
      </c>
      <c r="D13" s="159" t="s">
        <v>9</v>
      </c>
      <c r="E13" s="163" t="s">
        <v>236</v>
      </c>
      <c r="F13" s="176" t="s">
        <v>43</v>
      </c>
      <c r="G13" s="177" t="s">
        <v>76</v>
      </c>
      <c r="H13" s="185">
        <f>COUNTIFS(D:D,"=Important",F:F,"=Function Available")</f>
        <v>0</v>
      </c>
      <c r="I13" s="179">
        <f t="shared" ref="I13:I25" si="4">VLOOKUP($D13,SpecData,2,FALSE)</f>
        <v>3</v>
      </c>
      <c r="J13" s="180">
        <f t="shared" ref="J13:J25" si="5">VLOOKUP($F13,AvailabilityData,2,FALSE)</f>
        <v>0</v>
      </c>
      <c r="K13" s="220">
        <f t="shared" ref="K13:K32" si="6">I13*J13</f>
        <v>0</v>
      </c>
      <c r="L13" s="38"/>
    </row>
    <row r="14" spans="2:12" ht="30" customHeight="1" x14ac:dyDescent="0.3">
      <c r="B14" s="37" t="str">
        <f t="shared" si="0"/>
        <v>IAVL</v>
      </c>
      <c r="C14" s="2">
        <f>IF(ISTEXT(D14),MAX($C$6:$C13)+1,"")</f>
        <v>11</v>
      </c>
      <c r="D14" s="159" t="s">
        <v>9</v>
      </c>
      <c r="E14" s="163" t="s">
        <v>237</v>
      </c>
      <c r="F14" s="176" t="s">
        <v>43</v>
      </c>
      <c r="G14" s="177" t="s">
        <v>78</v>
      </c>
      <c r="H14" s="185">
        <f>COUNTIFS(D:D,"=Important",F:F,"=Function Not Available")</f>
        <v>0</v>
      </c>
      <c r="I14" s="188">
        <f t="shared" si="4"/>
        <v>3</v>
      </c>
      <c r="J14" s="189">
        <f t="shared" si="5"/>
        <v>0</v>
      </c>
      <c r="K14" s="220">
        <f t="shared" si="6"/>
        <v>0</v>
      </c>
      <c r="L14" s="38"/>
    </row>
    <row r="15" spans="2:12" ht="30" customHeight="1" x14ac:dyDescent="0.3">
      <c r="B15" s="37" t="str">
        <f t="shared" si="0"/>
        <v>IAVL</v>
      </c>
      <c r="C15" s="2">
        <f>IF(ISTEXT(D15),MAX($C$6:$C14)+1,"")</f>
        <v>12</v>
      </c>
      <c r="D15" s="159" t="s">
        <v>9</v>
      </c>
      <c r="E15" s="163" t="s">
        <v>238</v>
      </c>
      <c r="F15" s="176" t="s">
        <v>43</v>
      </c>
      <c r="G15" s="177" t="s">
        <v>80</v>
      </c>
      <c r="H15" s="185">
        <f>COUNTIFS(D:D,"=Important",F:F,"=Exception")</f>
        <v>0</v>
      </c>
      <c r="I15" s="188">
        <f t="shared" si="4"/>
        <v>3</v>
      </c>
      <c r="J15" s="189">
        <f t="shared" si="5"/>
        <v>0</v>
      </c>
      <c r="K15" s="220">
        <f t="shared" si="6"/>
        <v>0</v>
      </c>
      <c r="L15" s="38"/>
    </row>
    <row r="16" spans="2:12" ht="30" customHeight="1" x14ac:dyDescent="0.3">
      <c r="B16" s="37" t="str">
        <f t="shared" si="0"/>
        <v>IAVL</v>
      </c>
      <c r="C16" s="2">
        <f>IF(ISTEXT(D16),MAX($C$6:$C15)+1,"")</f>
        <v>13</v>
      </c>
      <c r="D16" s="159" t="s">
        <v>9</v>
      </c>
      <c r="E16" s="163" t="s">
        <v>239</v>
      </c>
      <c r="F16" s="176" t="s">
        <v>43</v>
      </c>
      <c r="G16" s="177" t="s">
        <v>82</v>
      </c>
      <c r="H16" s="185">
        <f>COUNTIFS(D:D,"=Minimal",F:F,"=Select From Drop Down")</f>
        <v>0</v>
      </c>
      <c r="I16" s="188">
        <f t="shared" si="4"/>
        <v>3</v>
      </c>
      <c r="J16" s="189">
        <f t="shared" si="5"/>
        <v>0</v>
      </c>
      <c r="K16" s="220">
        <f t="shared" si="6"/>
        <v>0</v>
      </c>
      <c r="L16" s="38"/>
    </row>
    <row r="17" spans="2:12" ht="30" customHeight="1" x14ac:dyDescent="0.3">
      <c r="B17" s="37" t="str">
        <f t="shared" si="0"/>
        <v>IAVL</v>
      </c>
      <c r="C17" s="2">
        <f>IF(ISTEXT(D17),MAX($C$6:$C16)+1,"")</f>
        <v>14</v>
      </c>
      <c r="D17" s="159" t="s">
        <v>9</v>
      </c>
      <c r="E17" s="162" t="s">
        <v>240</v>
      </c>
      <c r="F17" s="176" t="s">
        <v>43</v>
      </c>
      <c r="G17" s="177" t="s">
        <v>84</v>
      </c>
      <c r="H17" s="185">
        <f>COUNTIFS(D:D,"=Minimal",F:F,"=Function Available")</f>
        <v>0</v>
      </c>
      <c r="I17" s="188">
        <f t="shared" si="4"/>
        <v>3</v>
      </c>
      <c r="J17" s="189">
        <f t="shared" si="5"/>
        <v>0</v>
      </c>
      <c r="K17" s="220">
        <f t="shared" si="6"/>
        <v>0</v>
      </c>
      <c r="L17" s="38"/>
    </row>
    <row r="18" spans="2:12" ht="30" customHeight="1" x14ac:dyDescent="0.3">
      <c r="B18" s="37" t="str">
        <f t="shared" si="0"/>
        <v>IAVL</v>
      </c>
      <c r="C18" s="2">
        <f>IF(ISTEXT(D18),MAX($C$6:$C17)+1,"")</f>
        <v>15</v>
      </c>
      <c r="D18" s="159" t="s">
        <v>9</v>
      </c>
      <c r="E18" s="163" t="s">
        <v>241</v>
      </c>
      <c r="F18" s="176" t="s">
        <v>43</v>
      </c>
      <c r="G18" s="177" t="s">
        <v>86</v>
      </c>
      <c r="H18" s="185">
        <f>COUNTIFS(D:D,"=Minimal",F:F,"=Function Not Available")</f>
        <v>0</v>
      </c>
      <c r="I18" s="188">
        <f t="shared" si="4"/>
        <v>3</v>
      </c>
      <c r="J18" s="189">
        <f t="shared" si="5"/>
        <v>0</v>
      </c>
      <c r="K18" s="220">
        <f t="shared" si="6"/>
        <v>0</v>
      </c>
      <c r="L18" s="38"/>
    </row>
    <row r="19" spans="2:12" ht="30" customHeight="1" x14ac:dyDescent="0.3">
      <c r="B19" s="37" t="str">
        <f t="shared" si="0"/>
        <v>IAVL</v>
      </c>
      <c r="C19" s="2">
        <f>IF(ISTEXT(D19),MAX($C$6:$C18)+1,"")</f>
        <v>16</v>
      </c>
      <c r="D19" s="159" t="s">
        <v>9</v>
      </c>
      <c r="E19" s="163" t="s">
        <v>242</v>
      </c>
      <c r="F19" s="176" t="s">
        <v>43</v>
      </c>
      <c r="G19" s="177" t="s">
        <v>88</v>
      </c>
      <c r="H19" s="185">
        <f>COUNTIFS(D:D,"=Minimal",F:F,"=Exception")</f>
        <v>0</v>
      </c>
      <c r="I19" s="188">
        <f t="shared" si="4"/>
        <v>3</v>
      </c>
      <c r="J19" s="189">
        <f t="shared" si="5"/>
        <v>0</v>
      </c>
      <c r="K19" s="220">
        <f t="shared" si="6"/>
        <v>0</v>
      </c>
      <c r="L19" s="38"/>
    </row>
    <row r="20" spans="2:12" ht="30" customHeight="1" x14ac:dyDescent="0.3">
      <c r="B20" s="37" t="str">
        <f t="shared" si="0"/>
        <v>IAVL</v>
      </c>
      <c r="C20" s="2">
        <f>IF(ISTEXT(D20),MAX($C$6:$C19)+1,"")</f>
        <v>17</v>
      </c>
      <c r="D20" s="159" t="s">
        <v>9</v>
      </c>
      <c r="E20" s="235" t="s">
        <v>243</v>
      </c>
      <c r="F20" s="176" t="s">
        <v>43</v>
      </c>
      <c r="G20" s="177"/>
      <c r="H20" s="184"/>
      <c r="I20" s="188">
        <f t="shared" si="4"/>
        <v>3</v>
      </c>
      <c r="J20" s="189">
        <f t="shared" si="5"/>
        <v>0</v>
      </c>
      <c r="K20" s="220">
        <f t="shared" si="6"/>
        <v>0</v>
      </c>
      <c r="L20" s="38"/>
    </row>
    <row r="21" spans="2:12" ht="30" customHeight="1" x14ac:dyDescent="0.3">
      <c r="B21" s="40" t="str">
        <f t="shared" si="0"/>
        <v/>
      </c>
      <c r="C21" s="1" t="str">
        <f>IF(ISTEXT(D21),MAX($C$6:$C20)+1,"")</f>
        <v/>
      </c>
      <c r="D21" s="3"/>
      <c r="E21" s="203" t="s">
        <v>244</v>
      </c>
      <c r="F21" s="115"/>
      <c r="G21" s="31"/>
      <c r="H21" s="31"/>
      <c r="I21" s="31"/>
      <c r="J21" s="31"/>
      <c r="K21" s="31"/>
      <c r="L21" s="31"/>
    </row>
    <row r="22" spans="2:12" ht="30" customHeight="1" x14ac:dyDescent="0.3">
      <c r="B22" s="37" t="str">
        <f t="shared" si="0"/>
        <v>IAVL</v>
      </c>
      <c r="C22" s="2">
        <f>IF(ISTEXT(D22),MAX($C$6:$C20)+1,"")</f>
        <v>18</v>
      </c>
      <c r="D22" s="159" t="s">
        <v>10</v>
      </c>
      <c r="E22" s="227" t="s">
        <v>245</v>
      </c>
      <c r="F22" s="176" t="s">
        <v>43</v>
      </c>
      <c r="G22" s="177"/>
      <c r="H22" s="184"/>
      <c r="I22" s="188">
        <f t="shared" si="4"/>
        <v>2</v>
      </c>
      <c r="J22" s="189">
        <f t="shared" si="5"/>
        <v>0</v>
      </c>
      <c r="K22" s="220">
        <f t="shared" si="6"/>
        <v>0</v>
      </c>
      <c r="L22" s="38"/>
    </row>
    <row r="23" spans="2:12" ht="30" customHeight="1" x14ac:dyDescent="0.3">
      <c r="B23" s="37" t="str">
        <f t="shared" si="0"/>
        <v>IAVL</v>
      </c>
      <c r="C23" s="2">
        <f>IF(ISTEXT(D23),MAX($C$6:$C22)+1,"")</f>
        <v>19</v>
      </c>
      <c r="D23" s="159" t="s">
        <v>10</v>
      </c>
      <c r="E23" s="228" t="s">
        <v>246</v>
      </c>
      <c r="F23" s="176" t="s">
        <v>43</v>
      </c>
      <c r="G23" s="177"/>
      <c r="H23" s="184"/>
      <c r="I23" s="188">
        <f t="shared" si="4"/>
        <v>2</v>
      </c>
      <c r="J23" s="189">
        <f t="shared" si="5"/>
        <v>0</v>
      </c>
      <c r="K23" s="220">
        <f t="shared" si="6"/>
        <v>0</v>
      </c>
      <c r="L23" s="38"/>
    </row>
    <row r="24" spans="2:12" ht="30" customHeight="1" x14ac:dyDescent="0.3">
      <c r="B24" s="37" t="str">
        <f t="shared" si="0"/>
        <v>IAVL</v>
      </c>
      <c r="C24" s="2">
        <f>IF(ISTEXT(D24),MAX($C$6:$C23)+1,"")</f>
        <v>20</v>
      </c>
      <c r="D24" s="159" t="s">
        <v>10</v>
      </c>
      <c r="E24" s="228" t="s">
        <v>247</v>
      </c>
      <c r="F24" s="176" t="s">
        <v>43</v>
      </c>
      <c r="G24" s="177"/>
      <c r="H24" s="184"/>
      <c r="I24" s="188">
        <f t="shared" si="4"/>
        <v>2</v>
      </c>
      <c r="J24" s="189">
        <f t="shared" si="5"/>
        <v>0</v>
      </c>
      <c r="K24" s="220">
        <f t="shared" si="6"/>
        <v>0</v>
      </c>
      <c r="L24" s="38"/>
    </row>
    <row r="25" spans="2:12" ht="30" customHeight="1" x14ac:dyDescent="0.3">
      <c r="B25" s="37" t="str">
        <f t="shared" si="0"/>
        <v>IAVL</v>
      </c>
      <c r="C25" s="2">
        <f>IF(ISTEXT(D25),MAX($C$6:$C24)+1,"")</f>
        <v>21</v>
      </c>
      <c r="D25" s="159" t="s">
        <v>10</v>
      </c>
      <c r="E25" s="228" t="s">
        <v>248</v>
      </c>
      <c r="F25" s="176" t="s">
        <v>43</v>
      </c>
      <c r="G25" s="192"/>
      <c r="H25" s="193"/>
      <c r="I25" s="190">
        <f t="shared" si="4"/>
        <v>2</v>
      </c>
      <c r="J25" s="191">
        <f t="shared" si="5"/>
        <v>0</v>
      </c>
      <c r="K25" s="224">
        <f t="shared" si="6"/>
        <v>0</v>
      </c>
      <c r="L25" s="38"/>
    </row>
    <row r="26" spans="2:12" ht="30" customHeight="1" x14ac:dyDescent="0.3">
      <c r="B26" s="37" t="str">
        <f t="shared" si="0"/>
        <v>IAVL</v>
      </c>
      <c r="C26" s="2">
        <f>IF(ISTEXT(D26),MAX($C$6:$C25)+1,"")</f>
        <v>22</v>
      </c>
      <c r="D26" s="159" t="s">
        <v>10</v>
      </c>
      <c r="E26" s="228" t="s">
        <v>249</v>
      </c>
      <c r="F26" s="176" t="s">
        <v>43</v>
      </c>
      <c r="G26" s="186"/>
      <c r="H26" s="234"/>
      <c r="I26" s="179">
        <f t="shared" ref="I26:I32" si="7">VLOOKUP($D26,SpecData,2,FALSE)</f>
        <v>2</v>
      </c>
      <c r="J26" s="180">
        <f t="shared" ref="J26:J32" si="8">VLOOKUP($F26,AvailabilityData,2,FALSE)</f>
        <v>0</v>
      </c>
      <c r="K26" s="181">
        <f t="shared" si="6"/>
        <v>0</v>
      </c>
      <c r="L26" s="38"/>
    </row>
    <row r="27" spans="2:12" ht="30" customHeight="1" x14ac:dyDescent="0.3">
      <c r="B27" s="37" t="str">
        <f t="shared" si="0"/>
        <v>IAVL</v>
      </c>
      <c r="C27" s="2">
        <f>IF(ISTEXT(D27),MAX($C$6:$C26)+1,"")</f>
        <v>23</v>
      </c>
      <c r="D27" s="159" t="s">
        <v>10</v>
      </c>
      <c r="E27" s="228" t="s">
        <v>250</v>
      </c>
      <c r="F27" s="176" t="s">
        <v>43</v>
      </c>
      <c r="G27" s="177"/>
      <c r="H27" s="184"/>
      <c r="I27" s="188">
        <f t="shared" si="7"/>
        <v>2</v>
      </c>
      <c r="J27" s="189">
        <f t="shared" si="8"/>
        <v>0</v>
      </c>
      <c r="K27" s="220">
        <f t="shared" si="6"/>
        <v>0</v>
      </c>
      <c r="L27" s="38"/>
    </row>
    <row r="28" spans="2:12" ht="30" customHeight="1" x14ac:dyDescent="0.3">
      <c r="B28" s="37" t="str">
        <f t="shared" si="0"/>
        <v>IAVL</v>
      </c>
      <c r="C28" s="2">
        <f>IF(ISTEXT(D28),MAX($C$6:$C27)+1,"")</f>
        <v>24</v>
      </c>
      <c r="D28" s="159" t="s">
        <v>10</v>
      </c>
      <c r="E28" s="228" t="s">
        <v>251</v>
      </c>
      <c r="F28" s="176" t="s">
        <v>43</v>
      </c>
      <c r="G28" s="192"/>
      <c r="H28" s="193"/>
      <c r="I28" s="190">
        <f t="shared" si="7"/>
        <v>2</v>
      </c>
      <c r="J28" s="191">
        <f t="shared" si="8"/>
        <v>0</v>
      </c>
      <c r="K28" s="224">
        <f t="shared" si="6"/>
        <v>0</v>
      </c>
      <c r="L28" s="38"/>
    </row>
    <row r="29" spans="2:12" ht="30" customHeight="1" x14ac:dyDescent="0.3">
      <c r="B29" s="37" t="str">
        <f t="shared" si="0"/>
        <v>IAVL</v>
      </c>
      <c r="C29" s="2">
        <f>IF(ISTEXT(D29),MAX($C$6:$C28)+1,"")</f>
        <v>25</v>
      </c>
      <c r="D29" s="159" t="s">
        <v>10</v>
      </c>
      <c r="E29" s="228" t="s">
        <v>252</v>
      </c>
      <c r="F29" s="176" t="s">
        <v>43</v>
      </c>
      <c r="G29" s="186"/>
      <c r="H29" s="234"/>
      <c r="I29" s="179">
        <f t="shared" si="7"/>
        <v>2</v>
      </c>
      <c r="J29" s="180">
        <f t="shared" si="8"/>
        <v>0</v>
      </c>
      <c r="K29" s="181">
        <f t="shared" si="6"/>
        <v>0</v>
      </c>
      <c r="L29" s="38"/>
    </row>
    <row r="30" spans="2:12" ht="30" customHeight="1" x14ac:dyDescent="0.3">
      <c r="B30" s="37" t="str">
        <f t="shared" si="0"/>
        <v>IAVL</v>
      </c>
      <c r="C30" s="2">
        <f>IF(ISTEXT(D30),MAX($C$6:$C29)+1,"")</f>
        <v>26</v>
      </c>
      <c r="D30" s="159" t="s">
        <v>9</v>
      </c>
      <c r="E30" s="162" t="s">
        <v>253</v>
      </c>
      <c r="F30" s="176" t="s">
        <v>43</v>
      </c>
      <c r="G30" s="177"/>
      <c r="H30" s="184"/>
      <c r="I30" s="188">
        <f t="shared" si="7"/>
        <v>3</v>
      </c>
      <c r="J30" s="189">
        <f t="shared" si="8"/>
        <v>0</v>
      </c>
      <c r="K30" s="220">
        <f t="shared" si="6"/>
        <v>0</v>
      </c>
      <c r="L30" s="38"/>
    </row>
    <row r="31" spans="2:12" ht="41.4" x14ac:dyDescent="0.3">
      <c r="B31" s="37" t="str">
        <f t="shared" si="0"/>
        <v>IAVL</v>
      </c>
      <c r="C31" s="2">
        <f>IF(ISTEXT(D31),MAX($C$6:$C30)+1,"")</f>
        <v>27</v>
      </c>
      <c r="D31" s="159" t="s">
        <v>9</v>
      </c>
      <c r="E31" s="236" t="s">
        <v>254</v>
      </c>
      <c r="F31" s="176" t="s">
        <v>43</v>
      </c>
      <c r="G31" s="177"/>
      <c r="H31" s="184"/>
      <c r="I31" s="188">
        <f t="shared" si="7"/>
        <v>3</v>
      </c>
      <c r="J31" s="189">
        <f t="shared" si="8"/>
        <v>0</v>
      </c>
      <c r="K31" s="220">
        <f t="shared" si="6"/>
        <v>0</v>
      </c>
      <c r="L31" s="38"/>
    </row>
    <row r="32" spans="2:12" ht="41.4" x14ac:dyDescent="0.3">
      <c r="B32" s="164" t="str">
        <f t="shared" si="0"/>
        <v>IAVL</v>
      </c>
      <c r="C32" s="165">
        <f>IF(ISTEXT(D32),MAX($C$6:$C31)+1,"")</f>
        <v>28</v>
      </c>
      <c r="D32" s="159" t="s">
        <v>9</v>
      </c>
      <c r="E32" s="237" t="s">
        <v>255</v>
      </c>
      <c r="F32" s="176" t="s">
        <v>43</v>
      </c>
      <c r="G32" s="192"/>
      <c r="H32" s="193"/>
      <c r="I32" s="190">
        <f t="shared" si="7"/>
        <v>3</v>
      </c>
      <c r="J32" s="191">
        <f t="shared" si="8"/>
        <v>0</v>
      </c>
      <c r="K32" s="224">
        <f t="shared" si="6"/>
        <v>0</v>
      </c>
      <c r="L32" s="39"/>
    </row>
    <row r="33" ht="8.25" customHeight="1" x14ac:dyDescent="0.3"/>
  </sheetData>
  <sheetProtection algorithmName="SHA-512" hashValue="57nHvfGh8NwzW9KtFU47vSng2Pwc5Ef1tv9sNPaRyLADbk8yMLBhFDFFr1snXxE4TUjn2oWHjEiktwu5T/P8rg==" saltValue="vMFwu+COeyobl6ss14mnUA==" spinCount="100000" sheet="1" selectLockedCells="1"/>
  <conditionalFormatting sqref="D4:D20">
    <cfRule type="cellIs" dxfId="290" priority="13" operator="equal">
      <formula>"Important"</formula>
    </cfRule>
    <cfRule type="cellIs" dxfId="289" priority="14" operator="equal">
      <formula>"Crucial"</formula>
    </cfRule>
    <cfRule type="cellIs" dxfId="288" priority="15" operator="equal">
      <formula>"N/A"</formula>
    </cfRule>
  </conditionalFormatting>
  <conditionalFormatting sqref="D22:D32">
    <cfRule type="cellIs" dxfId="287" priority="10" operator="equal">
      <formula>"Important"</formula>
    </cfRule>
    <cfRule type="cellIs" dxfId="286" priority="11" operator="equal">
      <formula>"Crucial"</formula>
    </cfRule>
    <cfRule type="cellIs" dxfId="285" priority="12" operator="equal">
      <formula>"N/A"</formula>
    </cfRule>
  </conditionalFormatting>
  <conditionalFormatting sqref="F4:F32">
    <cfRule type="cellIs" dxfId="284" priority="1" operator="equal">
      <formula>"Function Not Available"</formula>
    </cfRule>
    <cfRule type="cellIs" dxfId="283" priority="2" operator="equal">
      <formula>"Function Available"</formula>
    </cfRule>
    <cfRule type="cellIs" dxfId="282" priority="3" operator="equal">
      <formula>"Exception"</formula>
    </cfRule>
  </conditionalFormatting>
  <dataValidations count="3">
    <dataValidation type="list" allowBlank="1" showInputMessage="1" showErrorMessage="1" sqref="F4:F5" xr:uid="{00000000-0002-0000-0700-000000000000}">
      <formula1>AvailabilityType</formula1>
    </dataValidation>
    <dataValidation type="list" allowBlank="1" showInputMessage="1" showErrorMessage="1" sqref="D4:D20 D22:D32" xr:uid="{00000000-0002-0000-0700-000001000000}">
      <formula1>SpecType</formula1>
    </dataValidation>
    <dataValidation type="list" allowBlank="1" showInputMessage="1" showErrorMessage="1" errorTitle="Invalid specification type" error="Please enter a Specification type from the drop-down list." sqref="F6:F20 F22:F32" xr:uid="{00000000-0002-0000-0700-000002000000}">
      <formula1>AvailabilityType</formula1>
    </dataValidation>
  </dataValidations>
  <pageMargins left="0.7" right="0.7" top="0.75" bottom="0.75" header="0.3" footer="0.3"/>
  <pageSetup scale="47" fitToHeight="0" orientation="portrait" r:id="rId1"/>
  <headerFooter>
    <oddHeader>&amp;CLos Alamos, NM
&amp;F&amp;R&amp;A</oddHeader>
    <oddFooter>&amp;LTSSI Consulting LLC, January 2023&amp;CPage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00"/>
  </sheetPr>
  <dimension ref="A1:M28"/>
  <sheetViews>
    <sheetView showGridLines="0" zoomScaleNormal="100" workbookViewId="0">
      <selection activeCell="H10" sqref="H10"/>
    </sheetView>
  </sheetViews>
  <sheetFormatPr defaultColWidth="0" defaultRowHeight="14.4" zeroHeight="1" x14ac:dyDescent="0.3"/>
  <cols>
    <col min="1" max="1" width="0.6640625" customWidth="1"/>
    <col min="2" max="2" width="11.6640625" customWidth="1"/>
    <col min="3" max="3" width="11.44140625" customWidth="1"/>
    <col min="4" max="4" width="23.33203125" style="145" customWidth="1"/>
    <col min="5" max="5" width="65.6640625" style="74" customWidth="1"/>
    <col min="6" max="6" width="28.6640625" customWidth="1"/>
    <col min="7" max="7" width="15.44140625" style="35" customWidth="1"/>
    <col min="8" max="11" width="12.6640625" customWidth="1"/>
    <col min="12" max="12" width="49.44140625" style="145" customWidth="1"/>
    <col min="13" max="13" width="4.33203125" customWidth="1"/>
    <col min="14" max="16384" width="8.6640625" hidden="1"/>
  </cols>
  <sheetData>
    <row r="1" spans="2:12" ht="6.6" customHeight="1" x14ac:dyDescent="0.3"/>
    <row r="2" spans="2:12" ht="129" customHeight="1" thickBot="1" x14ac:dyDescent="0.35">
      <c r="B2" s="96" t="s">
        <v>44</v>
      </c>
      <c r="C2" s="97" t="s">
        <v>45</v>
      </c>
      <c r="D2" s="97" t="s">
        <v>46</v>
      </c>
      <c r="E2" s="97" t="s">
        <v>256</v>
      </c>
      <c r="F2" s="97" t="s">
        <v>42</v>
      </c>
      <c r="G2" s="98" t="s">
        <v>48</v>
      </c>
      <c r="H2" s="98" t="s">
        <v>49</v>
      </c>
      <c r="I2" s="99" t="s">
        <v>50</v>
      </c>
      <c r="J2" s="99" t="s">
        <v>51</v>
      </c>
      <c r="K2" s="100" t="s">
        <v>14</v>
      </c>
      <c r="L2" s="101" t="s">
        <v>52</v>
      </c>
    </row>
    <row r="3" spans="2:12" ht="16.2" thickBot="1" x14ac:dyDescent="0.35">
      <c r="B3" s="8" t="s">
        <v>257</v>
      </c>
      <c r="C3" s="8"/>
      <c r="D3" s="8"/>
      <c r="E3" s="8"/>
      <c r="F3" s="8"/>
      <c r="G3" s="34" t="s">
        <v>54</v>
      </c>
      <c r="H3" s="7">
        <f>COUNTA(D4:D486)</f>
        <v>23</v>
      </c>
      <c r="I3" s="24"/>
      <c r="J3" s="25" t="s">
        <v>55</v>
      </c>
      <c r="K3" s="26">
        <f t="shared" ref="K3" si="0">SUM(K4:K486)</f>
        <v>0</v>
      </c>
      <c r="L3" s="8"/>
    </row>
    <row r="4" spans="2:12" ht="30" customHeight="1" x14ac:dyDescent="0.3">
      <c r="B4" s="37" t="s">
        <v>258</v>
      </c>
      <c r="C4" s="2">
        <v>1</v>
      </c>
      <c r="D4" s="146" t="s">
        <v>11</v>
      </c>
      <c r="E4" s="56" t="s">
        <v>259</v>
      </c>
      <c r="F4" s="109" t="s">
        <v>43</v>
      </c>
      <c r="G4" s="29" t="s">
        <v>58</v>
      </c>
      <c r="H4" s="110">
        <f>COUNTIF(F4:F486,"Select from Drop Down")</f>
        <v>23</v>
      </c>
      <c r="I4" s="111">
        <f>VLOOKUP($D4,SpecData,2,FALSE)</f>
        <v>1</v>
      </c>
      <c r="J4" s="112">
        <f>VLOOKUP($F4,AvailabilityData,2,FALSE)</f>
        <v>0</v>
      </c>
      <c r="K4" s="113">
        <f>I4*J4</f>
        <v>0</v>
      </c>
      <c r="L4" s="38"/>
    </row>
    <row r="5" spans="2:12" ht="30" customHeight="1" x14ac:dyDescent="0.3">
      <c r="B5" s="37" t="str">
        <f>IF(C5="","",$B$4)</f>
        <v>IBarC</v>
      </c>
      <c r="C5" s="2">
        <f>IF(ISTEXT(D5),MAX($C$4:$C4)+1,"")</f>
        <v>2</v>
      </c>
      <c r="D5" s="146" t="s">
        <v>11</v>
      </c>
      <c r="E5" s="56" t="s">
        <v>260</v>
      </c>
      <c r="F5" s="109" t="s">
        <v>43</v>
      </c>
      <c r="G5" s="29" t="s">
        <v>60</v>
      </c>
      <c r="H5" s="110">
        <f>COUNTIF(F4:F486,"Function Available")</f>
        <v>0</v>
      </c>
      <c r="I5" s="111">
        <f>VLOOKUP($D5,SpecData,2,FALSE)</f>
        <v>1</v>
      </c>
      <c r="J5" s="112">
        <f>VLOOKUP($F5,AvailabilityData,2,FALSE)</f>
        <v>0</v>
      </c>
      <c r="K5" s="113">
        <f t="shared" ref="K5:K27" si="1">I5*J5</f>
        <v>0</v>
      </c>
      <c r="L5" s="38"/>
    </row>
    <row r="6" spans="2:12" ht="30" customHeight="1" x14ac:dyDescent="0.3">
      <c r="B6" s="37" t="str">
        <f>IF(C6="","",$B$4)</f>
        <v>IBarC</v>
      </c>
      <c r="C6" s="2">
        <f>IF(ISTEXT(D6),MAX($C$4:$C5)+1,"")</f>
        <v>3</v>
      </c>
      <c r="D6" s="146" t="s">
        <v>11</v>
      </c>
      <c r="E6" s="56" t="s">
        <v>261</v>
      </c>
      <c r="F6" s="109" t="s">
        <v>43</v>
      </c>
      <c r="G6" s="29" t="s">
        <v>62</v>
      </c>
      <c r="H6" s="33">
        <f>COUNTIF(F4:F486,"Function Not Available")</f>
        <v>0</v>
      </c>
      <c r="I6" s="111">
        <f t="shared" ref="I6:I27" si="2">VLOOKUP($D6,SpecData,2,FALSE)</f>
        <v>1</v>
      </c>
      <c r="J6" s="112">
        <f t="shared" ref="J6:J27" si="3">VLOOKUP($F6,AvailabilityData,2,FALSE)</f>
        <v>0</v>
      </c>
      <c r="K6" s="113">
        <f t="shared" si="1"/>
        <v>0</v>
      </c>
      <c r="L6" s="38"/>
    </row>
    <row r="7" spans="2:12" ht="30" customHeight="1" x14ac:dyDescent="0.3">
      <c r="B7" s="37" t="str">
        <f t="shared" ref="B7:B27" si="4">IF(C7="","",$B$4)</f>
        <v>IBarC</v>
      </c>
      <c r="C7" s="2">
        <f>IF(ISTEXT(D7),MAX($C$4:$C6)+1,"")</f>
        <v>4</v>
      </c>
      <c r="D7" s="146" t="s">
        <v>11</v>
      </c>
      <c r="E7" s="56" t="s">
        <v>262</v>
      </c>
      <c r="F7" s="109" t="s">
        <v>43</v>
      </c>
      <c r="G7" s="29" t="s">
        <v>64</v>
      </c>
      <c r="H7" s="33">
        <f>COUNTIF(F4:F486,"Exception")</f>
        <v>0</v>
      </c>
      <c r="I7" s="111">
        <f t="shared" si="2"/>
        <v>1</v>
      </c>
      <c r="J7" s="112">
        <f t="shared" si="3"/>
        <v>0</v>
      </c>
      <c r="K7" s="113">
        <f t="shared" si="1"/>
        <v>0</v>
      </c>
      <c r="L7" s="38"/>
    </row>
    <row r="8" spans="2:12" ht="30" customHeight="1" x14ac:dyDescent="0.3">
      <c r="B8" s="37" t="str">
        <f t="shared" si="4"/>
        <v>IBarC</v>
      </c>
      <c r="C8" s="2">
        <f>IF(ISTEXT(D8),MAX($C$4:$C7)+1,"")</f>
        <v>5</v>
      </c>
      <c r="D8" s="146" t="s">
        <v>11</v>
      </c>
      <c r="E8" s="57" t="s">
        <v>263</v>
      </c>
      <c r="F8" s="109" t="s">
        <v>43</v>
      </c>
      <c r="G8" s="29" t="s">
        <v>66</v>
      </c>
      <c r="H8" s="28">
        <f>COUNTIFS(D:D,"=Crucial",F:F,"=Select From Drop Down")</f>
        <v>0</v>
      </c>
      <c r="I8" s="111">
        <f t="shared" si="2"/>
        <v>1</v>
      </c>
      <c r="J8" s="112">
        <f t="shared" si="3"/>
        <v>0</v>
      </c>
      <c r="K8" s="113">
        <f t="shared" si="1"/>
        <v>0</v>
      </c>
      <c r="L8" s="38"/>
    </row>
    <row r="9" spans="2:12" ht="30" customHeight="1" x14ac:dyDescent="0.3">
      <c r="B9" s="37" t="str">
        <f t="shared" si="4"/>
        <v>IBarC</v>
      </c>
      <c r="C9" s="2">
        <f>IF(ISTEXT(D9),MAX($C$4:$C8)+1,"")</f>
        <v>6</v>
      </c>
      <c r="D9" s="146" t="s">
        <v>11</v>
      </c>
      <c r="E9" s="56" t="s">
        <v>264</v>
      </c>
      <c r="F9" s="109" t="s">
        <v>43</v>
      </c>
      <c r="G9" s="29" t="s">
        <v>68</v>
      </c>
      <c r="H9" s="28">
        <f>COUNTIFS(D:D,"=Crucial",F:F,"=Function Available")</f>
        <v>0</v>
      </c>
      <c r="I9" s="111">
        <f t="shared" si="2"/>
        <v>1</v>
      </c>
      <c r="J9" s="112">
        <f t="shared" si="3"/>
        <v>0</v>
      </c>
      <c r="K9" s="113">
        <f t="shared" si="1"/>
        <v>0</v>
      </c>
      <c r="L9" s="38"/>
    </row>
    <row r="10" spans="2:12" ht="30" customHeight="1" x14ac:dyDescent="0.3">
      <c r="B10" s="37" t="str">
        <f t="shared" si="4"/>
        <v>IBarC</v>
      </c>
      <c r="C10" s="2">
        <f>IF(ISTEXT(D10),MAX($C$4:$C9)+1,"")</f>
        <v>7</v>
      </c>
      <c r="D10" s="146" t="s">
        <v>11</v>
      </c>
      <c r="E10" s="56" t="s">
        <v>265</v>
      </c>
      <c r="F10" s="109" t="s">
        <v>43</v>
      </c>
      <c r="G10" s="29" t="s">
        <v>70</v>
      </c>
      <c r="H10" s="28">
        <f>COUNTIFS(D:D,"=Crucial",F:F,"=Function Not Available")</f>
        <v>0</v>
      </c>
      <c r="I10" s="111">
        <f t="shared" si="2"/>
        <v>1</v>
      </c>
      <c r="J10" s="112">
        <f t="shared" si="3"/>
        <v>0</v>
      </c>
      <c r="K10" s="113">
        <f t="shared" si="1"/>
        <v>0</v>
      </c>
      <c r="L10" s="38"/>
    </row>
    <row r="11" spans="2:12" ht="30" customHeight="1" x14ac:dyDescent="0.3">
      <c r="B11" s="37" t="str">
        <f t="shared" si="4"/>
        <v>IBarC</v>
      </c>
      <c r="C11" s="2">
        <f>IF(ISTEXT(D11),MAX($C$4:$C10)+1,"")</f>
        <v>8</v>
      </c>
      <c r="D11" s="146" t="s">
        <v>11</v>
      </c>
      <c r="E11" s="56" t="s">
        <v>266</v>
      </c>
      <c r="F11" s="109" t="s">
        <v>43</v>
      </c>
      <c r="G11" s="29" t="s">
        <v>72</v>
      </c>
      <c r="H11" s="28">
        <f>COUNTIFS(D:D,"=Crucial",F:F,"=Exception")</f>
        <v>0</v>
      </c>
      <c r="I11" s="111">
        <f t="shared" si="2"/>
        <v>1</v>
      </c>
      <c r="J11" s="112">
        <f t="shared" si="3"/>
        <v>0</v>
      </c>
      <c r="K11" s="113">
        <f t="shared" si="1"/>
        <v>0</v>
      </c>
      <c r="L11" s="38"/>
    </row>
    <row r="12" spans="2:12" ht="30" customHeight="1" x14ac:dyDescent="0.3">
      <c r="B12" s="37" t="str">
        <f t="shared" si="4"/>
        <v>IBarC</v>
      </c>
      <c r="C12" s="2">
        <f>IF(ISTEXT(D12),MAX($C$4:$C11)+1,"")</f>
        <v>9</v>
      </c>
      <c r="D12" s="146" t="s">
        <v>11</v>
      </c>
      <c r="E12" s="56" t="s">
        <v>267</v>
      </c>
      <c r="F12" s="109" t="s">
        <v>43</v>
      </c>
      <c r="G12" s="34" t="s">
        <v>74</v>
      </c>
      <c r="H12" s="114">
        <f>COUNTIFS(D:D,"=Important",F:F,"=Select From Drop Down")</f>
        <v>0</v>
      </c>
      <c r="I12" s="111">
        <f t="shared" si="2"/>
        <v>1</v>
      </c>
      <c r="J12" s="112">
        <f t="shared" si="3"/>
        <v>0</v>
      </c>
      <c r="K12" s="113">
        <f t="shared" si="1"/>
        <v>0</v>
      </c>
      <c r="L12" s="38"/>
    </row>
    <row r="13" spans="2:12" ht="30" customHeight="1" x14ac:dyDescent="0.3">
      <c r="B13" s="37" t="str">
        <f t="shared" si="4"/>
        <v>IBarC</v>
      </c>
      <c r="C13" s="2">
        <f>IF(ISTEXT(D13),MAX($C$4:$C12)+1,"")</f>
        <v>10</v>
      </c>
      <c r="D13" s="146" t="s">
        <v>11</v>
      </c>
      <c r="E13" s="56" t="s">
        <v>268</v>
      </c>
      <c r="F13" s="109" t="s">
        <v>43</v>
      </c>
      <c r="G13" s="34" t="s">
        <v>76</v>
      </c>
      <c r="H13" s="114">
        <f>COUNTIFS(D:D,"=Important",F:F,"=Function Available")</f>
        <v>0</v>
      </c>
      <c r="I13" s="111">
        <f t="shared" si="2"/>
        <v>1</v>
      </c>
      <c r="J13" s="112">
        <f t="shared" si="3"/>
        <v>0</v>
      </c>
      <c r="K13" s="113">
        <f t="shared" si="1"/>
        <v>0</v>
      </c>
      <c r="L13" s="38"/>
    </row>
    <row r="14" spans="2:12" ht="30" customHeight="1" x14ac:dyDescent="0.3">
      <c r="B14" s="37" t="str">
        <f t="shared" si="4"/>
        <v>IBarC</v>
      </c>
      <c r="C14" s="2">
        <f>IF(ISTEXT(D14),MAX($C$4:$C13)+1,"")</f>
        <v>11</v>
      </c>
      <c r="D14" s="146" t="s">
        <v>11</v>
      </c>
      <c r="E14" s="58" t="s">
        <v>269</v>
      </c>
      <c r="F14" s="109" t="s">
        <v>43</v>
      </c>
      <c r="G14" s="29" t="s">
        <v>78</v>
      </c>
      <c r="H14" s="28">
        <f>COUNTIFS(D:D,"=Important",F:F,"=Function Not Available")</f>
        <v>0</v>
      </c>
      <c r="I14" s="32">
        <f t="shared" si="2"/>
        <v>1</v>
      </c>
      <c r="J14" s="30">
        <f t="shared" si="3"/>
        <v>0</v>
      </c>
      <c r="K14" s="113">
        <f t="shared" si="1"/>
        <v>0</v>
      </c>
      <c r="L14" s="38"/>
    </row>
    <row r="15" spans="2:12" ht="30" customHeight="1" x14ac:dyDescent="0.3">
      <c r="B15" s="37" t="str">
        <f t="shared" si="4"/>
        <v>IBarC</v>
      </c>
      <c r="C15" s="2">
        <f>IF(ISTEXT(D15),MAX($C$4:$C14)+1,"")</f>
        <v>12</v>
      </c>
      <c r="D15" s="146" t="s">
        <v>11</v>
      </c>
      <c r="E15" s="58" t="s">
        <v>270</v>
      </c>
      <c r="F15" s="109" t="s">
        <v>43</v>
      </c>
      <c r="G15" s="29" t="s">
        <v>80</v>
      </c>
      <c r="H15" s="28">
        <f>COUNTIFS(D:D,"=Important",F:F,"=Exception")</f>
        <v>0</v>
      </c>
      <c r="I15" s="32">
        <f t="shared" si="2"/>
        <v>1</v>
      </c>
      <c r="J15" s="30">
        <f t="shared" si="3"/>
        <v>0</v>
      </c>
      <c r="K15" s="113">
        <f t="shared" si="1"/>
        <v>0</v>
      </c>
      <c r="L15" s="38"/>
    </row>
    <row r="16" spans="2:12" ht="30" customHeight="1" x14ac:dyDescent="0.3">
      <c r="B16" s="37" t="str">
        <f t="shared" si="4"/>
        <v>IBarC</v>
      </c>
      <c r="C16" s="2">
        <f>IF(ISTEXT(D16),MAX($C$4:$C15)+1,"")</f>
        <v>13</v>
      </c>
      <c r="D16" s="146" t="s">
        <v>11</v>
      </c>
      <c r="E16" s="58" t="s">
        <v>271</v>
      </c>
      <c r="F16" s="109" t="s">
        <v>43</v>
      </c>
      <c r="G16" s="29" t="s">
        <v>82</v>
      </c>
      <c r="H16" s="28">
        <f>COUNTIFS(D:D,"=Minimal",F:F,"=Select From Drop Down")</f>
        <v>23</v>
      </c>
      <c r="I16" s="32">
        <f t="shared" si="2"/>
        <v>1</v>
      </c>
      <c r="J16" s="30">
        <f t="shared" si="3"/>
        <v>0</v>
      </c>
      <c r="K16" s="113">
        <f t="shared" si="1"/>
        <v>0</v>
      </c>
      <c r="L16" s="38"/>
    </row>
    <row r="17" spans="2:12" ht="30" customHeight="1" x14ac:dyDescent="0.3">
      <c r="B17" s="40" t="str">
        <f t="shared" si="4"/>
        <v/>
      </c>
      <c r="C17" s="1" t="str">
        <f>IF(ISTEXT(D17),MAX($C$6:$C16)+1,"")</f>
        <v/>
      </c>
      <c r="D17" s="3"/>
      <c r="E17" s="59" t="s">
        <v>272</v>
      </c>
      <c r="F17" s="115"/>
      <c r="G17" s="31"/>
      <c r="H17" s="31"/>
      <c r="I17" s="31"/>
      <c r="J17" s="31"/>
      <c r="K17" s="31"/>
      <c r="L17" s="31"/>
    </row>
    <row r="18" spans="2:12" ht="30" customHeight="1" x14ac:dyDescent="0.3">
      <c r="B18" s="37" t="str">
        <f t="shared" si="4"/>
        <v>IBarC</v>
      </c>
      <c r="C18" s="2">
        <f>IF(ISTEXT(D18),MAX($C$4:$C16)+1,"")</f>
        <v>14</v>
      </c>
      <c r="D18" s="146" t="s">
        <v>11</v>
      </c>
      <c r="E18" s="81" t="s">
        <v>273</v>
      </c>
      <c r="F18" s="109" t="s">
        <v>43</v>
      </c>
      <c r="G18" s="29" t="s">
        <v>84</v>
      </c>
      <c r="H18" s="28">
        <f>COUNTIFS(D:D,"=Minimal",F:F,"=Function Available")</f>
        <v>0</v>
      </c>
      <c r="I18" s="32">
        <f t="shared" si="2"/>
        <v>1</v>
      </c>
      <c r="J18" s="30">
        <f t="shared" si="3"/>
        <v>0</v>
      </c>
      <c r="K18" s="113">
        <f t="shared" si="1"/>
        <v>0</v>
      </c>
      <c r="L18" s="38"/>
    </row>
    <row r="19" spans="2:12" ht="30" customHeight="1" x14ac:dyDescent="0.3">
      <c r="B19" s="37" t="str">
        <f t="shared" si="4"/>
        <v>IBarC</v>
      </c>
      <c r="C19" s="2">
        <f>IF(ISTEXT(D19),MAX($C$4:$C18)+1,"")</f>
        <v>15</v>
      </c>
      <c r="D19" s="146" t="s">
        <v>11</v>
      </c>
      <c r="E19" s="81" t="s">
        <v>274</v>
      </c>
      <c r="F19" s="109" t="s">
        <v>43</v>
      </c>
      <c r="G19" s="29" t="s">
        <v>86</v>
      </c>
      <c r="H19" s="28">
        <f>COUNTIFS(D:D,"=Minimal",F:F,"=Function Not Available")</f>
        <v>0</v>
      </c>
      <c r="I19" s="32">
        <f t="shared" si="2"/>
        <v>1</v>
      </c>
      <c r="J19" s="30">
        <f t="shared" si="3"/>
        <v>0</v>
      </c>
      <c r="K19" s="113">
        <f t="shared" si="1"/>
        <v>0</v>
      </c>
      <c r="L19" s="38"/>
    </row>
    <row r="20" spans="2:12" ht="30" customHeight="1" x14ac:dyDescent="0.3">
      <c r="B20" s="37" t="str">
        <f t="shared" si="4"/>
        <v>IBarC</v>
      </c>
      <c r="C20" s="2">
        <f>IF(ISTEXT(D20),MAX($C$4:$C19)+1,"")</f>
        <v>16</v>
      </c>
      <c r="D20" s="146" t="s">
        <v>11</v>
      </c>
      <c r="E20" s="81" t="s">
        <v>275</v>
      </c>
      <c r="F20" s="109" t="s">
        <v>43</v>
      </c>
      <c r="G20" s="29" t="s">
        <v>88</v>
      </c>
      <c r="H20" s="28">
        <f>COUNTIFS(D:D,"=Minimal",F:F,"=Exception")</f>
        <v>0</v>
      </c>
      <c r="I20" s="32">
        <f t="shared" si="2"/>
        <v>1</v>
      </c>
      <c r="J20" s="30">
        <f t="shared" si="3"/>
        <v>0</v>
      </c>
      <c r="K20" s="113">
        <f t="shared" si="1"/>
        <v>0</v>
      </c>
      <c r="L20" s="38"/>
    </row>
    <row r="21" spans="2:12" ht="30" customHeight="1" x14ac:dyDescent="0.3">
      <c r="B21" s="37" t="str">
        <f t="shared" si="4"/>
        <v>IBarC</v>
      </c>
      <c r="C21" s="2">
        <f>IF(ISTEXT(D21),MAX($C$4:$C20)+1,"")</f>
        <v>17</v>
      </c>
      <c r="D21" s="146" t="s">
        <v>11</v>
      </c>
      <c r="E21" s="81" t="s">
        <v>276</v>
      </c>
      <c r="F21" s="109" t="s">
        <v>43</v>
      </c>
      <c r="G21" s="29"/>
      <c r="H21" s="33"/>
      <c r="I21" s="32">
        <f t="shared" si="2"/>
        <v>1</v>
      </c>
      <c r="J21" s="30">
        <f t="shared" si="3"/>
        <v>0</v>
      </c>
      <c r="K21" s="113">
        <f t="shared" si="1"/>
        <v>0</v>
      </c>
      <c r="L21" s="38"/>
    </row>
    <row r="22" spans="2:12" ht="30" customHeight="1" x14ac:dyDescent="0.3">
      <c r="B22" s="37" t="str">
        <f t="shared" si="4"/>
        <v>IBarC</v>
      </c>
      <c r="C22" s="2">
        <f>IF(ISTEXT(D22),MAX($C$4:$C21)+1,"")</f>
        <v>18</v>
      </c>
      <c r="D22" s="146" t="s">
        <v>11</v>
      </c>
      <c r="E22" s="81" t="s">
        <v>277</v>
      </c>
      <c r="F22" s="109" t="s">
        <v>43</v>
      </c>
      <c r="G22" s="29"/>
      <c r="H22" s="33"/>
      <c r="I22" s="32">
        <f t="shared" si="2"/>
        <v>1</v>
      </c>
      <c r="J22" s="30">
        <f t="shared" si="3"/>
        <v>0</v>
      </c>
      <c r="K22" s="113">
        <f t="shared" si="1"/>
        <v>0</v>
      </c>
      <c r="L22" s="38"/>
    </row>
    <row r="23" spans="2:12" ht="30" customHeight="1" x14ac:dyDescent="0.3">
      <c r="B23" s="37" t="str">
        <f t="shared" si="4"/>
        <v>IBarC</v>
      </c>
      <c r="C23" s="2">
        <f>IF(ISTEXT(D23),MAX($C$4:$C22)+1,"")</f>
        <v>19</v>
      </c>
      <c r="D23" s="146" t="s">
        <v>11</v>
      </c>
      <c r="E23" s="60" t="s">
        <v>278</v>
      </c>
      <c r="F23" s="109" t="s">
        <v>43</v>
      </c>
      <c r="G23" s="29"/>
      <c r="H23" s="33"/>
      <c r="I23" s="32">
        <f t="shared" si="2"/>
        <v>1</v>
      </c>
      <c r="J23" s="30">
        <f t="shared" si="3"/>
        <v>0</v>
      </c>
      <c r="K23" s="113">
        <f t="shared" si="1"/>
        <v>0</v>
      </c>
      <c r="L23" s="38"/>
    </row>
    <row r="24" spans="2:12" ht="30" customHeight="1" x14ac:dyDescent="0.3">
      <c r="B24" s="37" t="str">
        <f t="shared" si="4"/>
        <v>IBarC</v>
      </c>
      <c r="C24" s="2">
        <f>IF(ISTEXT(D24),MAX($C$4:$C23)+1,"")</f>
        <v>20</v>
      </c>
      <c r="D24" s="146" t="s">
        <v>11</v>
      </c>
      <c r="E24" s="60" t="s">
        <v>279</v>
      </c>
      <c r="F24" s="109" t="s">
        <v>43</v>
      </c>
      <c r="G24" s="29"/>
      <c r="H24" s="33"/>
      <c r="I24" s="32">
        <f t="shared" si="2"/>
        <v>1</v>
      </c>
      <c r="J24" s="30">
        <f t="shared" si="3"/>
        <v>0</v>
      </c>
      <c r="K24" s="113">
        <f t="shared" si="1"/>
        <v>0</v>
      </c>
      <c r="L24" s="38"/>
    </row>
    <row r="25" spans="2:12" ht="30" customHeight="1" x14ac:dyDescent="0.3">
      <c r="B25" s="37" t="str">
        <f t="shared" si="4"/>
        <v>IBarC</v>
      </c>
      <c r="C25" s="2">
        <f>IF(ISTEXT(D25),MAX($C$4:$C24)+1,"")</f>
        <v>21</v>
      </c>
      <c r="D25" s="146" t="s">
        <v>11</v>
      </c>
      <c r="E25" s="56" t="s">
        <v>280</v>
      </c>
      <c r="F25" s="109" t="s">
        <v>43</v>
      </c>
      <c r="G25" s="87"/>
      <c r="H25" s="88"/>
      <c r="I25" s="89">
        <f t="shared" si="2"/>
        <v>1</v>
      </c>
      <c r="J25" s="90">
        <f t="shared" si="3"/>
        <v>0</v>
      </c>
      <c r="K25" s="113">
        <f t="shared" si="1"/>
        <v>0</v>
      </c>
      <c r="L25" s="38"/>
    </row>
    <row r="26" spans="2:12" ht="30" customHeight="1" x14ac:dyDescent="0.3">
      <c r="B26" s="37" t="str">
        <f t="shared" si="4"/>
        <v>IBarC</v>
      </c>
      <c r="C26" s="2">
        <f>IF(ISTEXT(D26),MAX($C$4:$C25)+1,"")</f>
        <v>22</v>
      </c>
      <c r="D26" s="146" t="s">
        <v>11</v>
      </c>
      <c r="E26" s="56" t="s">
        <v>281</v>
      </c>
      <c r="F26" s="109" t="s">
        <v>43</v>
      </c>
      <c r="G26" s="34"/>
      <c r="H26" s="116"/>
      <c r="I26" s="111">
        <f t="shared" si="2"/>
        <v>1</v>
      </c>
      <c r="J26" s="112">
        <f t="shared" si="3"/>
        <v>0</v>
      </c>
      <c r="K26" s="113">
        <f t="shared" si="1"/>
        <v>0</v>
      </c>
      <c r="L26" s="38"/>
    </row>
    <row r="27" spans="2:12" ht="30" customHeight="1" x14ac:dyDescent="0.3">
      <c r="B27" s="37" t="str">
        <f t="shared" si="4"/>
        <v>IBarC</v>
      </c>
      <c r="C27" s="2">
        <f>IF(ISTEXT(D27),MAX($C$4:$C26)+1,"")</f>
        <v>23</v>
      </c>
      <c r="D27" s="146" t="s">
        <v>11</v>
      </c>
      <c r="E27" s="60" t="s">
        <v>282</v>
      </c>
      <c r="F27" s="109" t="s">
        <v>43</v>
      </c>
      <c r="G27" s="29"/>
      <c r="H27" s="33"/>
      <c r="I27" s="32">
        <f t="shared" si="2"/>
        <v>1</v>
      </c>
      <c r="J27" s="30">
        <f t="shared" si="3"/>
        <v>0</v>
      </c>
      <c r="K27" s="113">
        <f t="shared" si="1"/>
        <v>0</v>
      </c>
      <c r="L27" s="38"/>
    </row>
    <row r="28" spans="2:12" ht="7.95" customHeight="1" x14ac:dyDescent="0.3"/>
  </sheetData>
  <sheetProtection selectLockedCells="1"/>
  <conditionalFormatting sqref="D4:D16 D18:D27">
    <cfRule type="cellIs" dxfId="281" priority="13" operator="equal">
      <formula>"Important"</formula>
    </cfRule>
    <cfRule type="cellIs" dxfId="280" priority="14" operator="equal">
      <formula>"Crucial"</formula>
    </cfRule>
    <cfRule type="cellIs" dxfId="279" priority="15" operator="equal">
      <formula>"N/A"</formula>
    </cfRule>
  </conditionalFormatting>
  <conditionalFormatting sqref="F4:F27">
    <cfRule type="cellIs" dxfId="278" priority="1" operator="equal">
      <formula>"Function Not Available"</formula>
    </cfRule>
    <cfRule type="cellIs" dxfId="277" priority="2" operator="equal">
      <formula>"Function Available"</formula>
    </cfRule>
    <cfRule type="cellIs" dxfId="276"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16 F18:F27" xr:uid="{00000000-0002-0000-0800-000000000000}">
      <formula1>AvailabilityType</formula1>
    </dataValidation>
    <dataValidation type="list" allowBlank="1" showInputMessage="1" showErrorMessage="1" sqref="D4:D16 D18:D27" xr:uid="{00000000-0002-0000-0800-000001000000}">
      <formula1>SpecType</formula1>
    </dataValidation>
    <dataValidation type="list" allowBlank="1" showInputMessage="1" showErrorMessage="1" sqref="F4:F5" xr:uid="{00000000-0002-0000-0800-000002000000}">
      <formula1>AvailabilityType</formula1>
    </dataValidation>
  </dataValidations>
  <pageMargins left="0.7" right="0.7" top="0.75" bottom="0.75" header="0.3" footer="0.3"/>
  <pageSetup scale="50" fitToHeight="0" orientation="portrait" r:id="rId1"/>
  <headerFooter>
    <oddHeader>&amp;CLos Alamos, NM
&amp;F&amp;R&amp;A</oddHeader>
    <oddFooter>&amp;LTSSI Consulting LLC, June 2015&amp;CPage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13</vt:i4>
      </vt:variant>
    </vt:vector>
  </HeadingPairs>
  <TitlesOfParts>
    <vt:vector size="49" baseType="lpstr">
      <vt:lpstr>Evaluation Overview</vt:lpstr>
      <vt:lpstr>Support Data</vt:lpstr>
      <vt:lpstr>General Interface</vt:lpstr>
      <vt:lpstr>Alarm Monitoring</vt:lpstr>
      <vt:lpstr>Alarm Tracking and Billing</vt:lpstr>
      <vt:lpstr>Alerting Interface</vt:lpstr>
      <vt:lpstr>Alpha-Text Paging Interface</vt:lpstr>
      <vt:lpstr>AVL Interface</vt:lpstr>
      <vt:lpstr>Bar-Coding</vt:lpstr>
      <vt:lpstr>Dynamic Radio Re-Grouping</vt:lpstr>
      <vt:lpstr>CAD2CAD</vt:lpstr>
      <vt:lpstr>LiveScan Module</vt:lpstr>
      <vt:lpstr>Dispatch Protocol Software</vt:lpstr>
      <vt:lpstr>EMS Billing</vt:lpstr>
      <vt:lpstr>E9-1-1 Interface</vt:lpstr>
      <vt:lpstr>Emergency Notification System</vt:lpstr>
      <vt:lpstr>ePCR</vt:lpstr>
      <vt:lpstr>External Databases</vt:lpstr>
      <vt:lpstr>FAX</vt:lpstr>
      <vt:lpstr>FRMS</vt:lpstr>
      <vt:lpstr>Forms</vt:lpstr>
      <vt:lpstr>Hazardous Materials</vt:lpstr>
      <vt:lpstr>Logging Recorder</vt:lpstr>
      <vt:lpstr>NextGen</vt:lpstr>
      <vt:lpstr>PSAP Master Clock</vt:lpstr>
      <vt:lpstr>Pictometry</vt:lpstr>
      <vt:lpstr>Radio System</vt:lpstr>
      <vt:lpstr>LERMS</vt:lpstr>
      <vt:lpstr>Resource Deployment</vt:lpstr>
      <vt:lpstr>Rip and Run</vt:lpstr>
      <vt:lpstr>Site Security System</vt:lpstr>
      <vt:lpstr>Staffing</vt:lpstr>
      <vt:lpstr>State NCIC Interface</vt:lpstr>
      <vt:lpstr>TDD-TTY</vt:lpstr>
      <vt:lpstr>Web CAD Interface</vt:lpstr>
      <vt:lpstr>Ticketing Interface</vt:lpstr>
      <vt:lpstr>'Dynamic Radio Re-Grouping'!AvailabilityData</vt:lpstr>
      <vt:lpstr>'Ticketing Interface'!AvailabilityData</vt:lpstr>
      <vt:lpstr>AvailabilityData</vt:lpstr>
      <vt:lpstr>'Dynamic Radio Re-Grouping'!AvailabilityType</vt:lpstr>
      <vt:lpstr>'Ticketing Interface'!AvailabilityType</vt:lpstr>
      <vt:lpstr>AvailabilityType</vt:lpstr>
      <vt:lpstr>'Radio System'!Print_Area</vt:lpstr>
      <vt:lpstr>'Dynamic Radio Re-Grouping'!SpecData</vt:lpstr>
      <vt:lpstr>'Ticketing Interface'!SpecData</vt:lpstr>
      <vt:lpstr>SpecData</vt:lpstr>
      <vt:lpstr>'Dynamic Radio Re-Grouping'!SpecType</vt:lpstr>
      <vt:lpstr>'Ticketing Interface'!SpecType</vt:lpstr>
      <vt:lpstr>SpecType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Angela McLaren</cp:lastModifiedBy>
  <cp:revision/>
  <cp:lastPrinted>2023-02-02T14:57:59Z</cp:lastPrinted>
  <dcterms:created xsi:type="dcterms:W3CDTF">2015-01-27T15:14:04Z</dcterms:created>
  <dcterms:modified xsi:type="dcterms:W3CDTF">2023-04-05T16:56:35Z</dcterms:modified>
  <cp:category/>
  <cp:contentStatus/>
</cp:coreProperties>
</file>